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ALENCIA\"/>
    </mc:Choice>
  </mc:AlternateContent>
  <workbookProtection workbookAlgorithmName="SHA-512" workbookHashValue="2pgJTHQ5fwGvtoxekRQ0kg+NdXKjSVCpvJoLnAGs0dL1GB5OU6a4SrP/voxxg6sU4dwTqv3Z+ZV4nlo4JbKUiw==" workbookSaltValue="kexy8SIbEn5Bv5k2JlCP1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4" i="17" s="1"/>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F32" i="20"/>
  <c r="S32" i="20"/>
  <c r="AQ32" i="21"/>
  <c r="AJ32" i="20"/>
  <c r="G30" i="14"/>
  <c r="G23" i="14"/>
  <c r="U18" i="11"/>
  <c r="AX32" i="20"/>
  <c r="Y32" i="20"/>
  <c r="L32" i="20"/>
  <c r="AG32" i="20"/>
  <c r="H32" i="20"/>
  <c r="T32" i="21"/>
  <c r="F32" i="20"/>
  <c r="G26" i="14"/>
  <c r="K32" i="20"/>
  <c r="O17" i="11"/>
  <c r="F28" i="2" l="1"/>
  <c r="E23" i="12"/>
  <c r="L17" i="14"/>
  <c r="BF17" i="8"/>
  <c r="X12" i="17"/>
  <c r="R8" i="9"/>
  <c r="R13" i="17"/>
  <c r="P13" i="14"/>
  <c r="BG17" i="13"/>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6" i="12"/>
  <c r="K9" i="12"/>
  <c r="BF23" i="13"/>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9" i="16"/>
  <c r="X13" i="16"/>
  <c r="BL12" i="11"/>
  <c r="BK21" i="11"/>
  <c r="V11" i="11"/>
  <c r="BI25" i="11"/>
  <c r="BM12" i="11"/>
  <c r="V13" i="11"/>
  <c r="V9" i="11"/>
  <c r="BI19" i="11"/>
  <c r="BH25" i="11"/>
  <c r="BJ16" i="11"/>
  <c r="BJ23" i="11" s="1"/>
  <c r="AP16" i="20"/>
  <c r="V20" i="11"/>
  <c r="BG19" i="11"/>
  <c r="BL29" i="11"/>
  <c r="BW20" i="20"/>
  <c r="BV18" i="16"/>
  <c r="BV12" i="16"/>
  <c r="BV16" i="16"/>
  <c r="U10" i="17"/>
  <c r="BU18" i="17"/>
  <c r="BU12" i="17"/>
  <c r="S25" i="17"/>
  <c r="AZ11" i="11"/>
  <c r="P16" i="17"/>
  <c r="P23" i="17" s="1"/>
  <c r="P31" i="17" s="1"/>
  <c r="BF12" i="11"/>
  <c r="BH25" i="16"/>
  <c r="BK20" i="11"/>
  <c r="BJ10" i="11"/>
  <c r="Q16" i="17"/>
  <c r="BF16" i="11"/>
  <c r="BL22" i="11"/>
  <c r="BI22" i="11"/>
  <c r="BK10" i="11"/>
  <c r="L28" i="2"/>
  <c r="L17" i="2"/>
  <c r="AA11" i="16"/>
  <c r="AP22" i="20"/>
  <c r="R25" i="14"/>
  <c r="BL25" i="11"/>
  <c r="Q25" i="11" s="1"/>
  <c r="AZ9" i="11"/>
  <c r="T16" i="16"/>
  <c r="BV19" i="16"/>
  <c r="BW18" i="20"/>
  <c r="BW12" i="20"/>
  <c r="BW16" i="20"/>
  <c r="BV10" i="16"/>
  <c r="V12" i="16"/>
  <c r="S22" i="17"/>
  <c r="BF20" i="11"/>
  <c r="S16" i="16"/>
  <c r="S23" i="16" s="1"/>
  <c r="BL20" i="11"/>
  <c r="BL16" i="11"/>
  <c r="Q16" i="11" s="1"/>
  <c r="BH21" i="11"/>
  <c r="AZ25" i="11"/>
  <c r="AZ30" i="11" s="1"/>
  <c r="BK17" i="11"/>
  <c r="BM18" i="11"/>
  <c r="BH17" i="11"/>
  <c r="AQ12" i="21"/>
  <c r="BI21" i="11"/>
  <c r="L10" i="2"/>
  <c r="X21" i="20"/>
  <c r="L16" i="2"/>
  <c r="L18" i="2"/>
  <c r="X16" i="16"/>
  <c r="X23" i="16" s="1"/>
  <c r="L9" i="2"/>
  <c r="V25"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AW32" i="11"/>
  <c r="O12" i="11"/>
  <c r="H32" i="17"/>
  <c r="O32" i="20"/>
  <c r="AV32" i="21"/>
  <c r="AQ17" i="11" l="1"/>
  <c r="AL31" i="21"/>
  <c r="AA31" i="11"/>
  <c r="S31" i="16"/>
  <c r="AZ26" i="11"/>
  <c r="AZ31" i="11"/>
  <c r="AZ14"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<sst xmlns="http://schemas.openxmlformats.org/spreadsheetml/2006/main" count="2682" uniqueCount="1192">
  <si>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</si>
  <si>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</si>
  <si>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</si>
  <si>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</si>
  <si>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</si>
  <si>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</si>
  <si>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</si>
  <si>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</si>
  <si>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</si>
  <si>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</si>
  <si>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</si>
  <si>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</si>
  <si>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</si>
  <si>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</si>
  <si>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</si>
  <si>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</si>
  <si>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</si>
  <si>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</si>
  <si>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</si>
  <si>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</si>
  <si>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</si>
  <si>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</si>
  <si>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</si>
  <si>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</si>
  <si>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</si>
  <si>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</si>
  <si>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</si>
  <si>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</si>
  <si>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</si>
  <si>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</si>
  <si>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</si>
  <si>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</si>
  <si>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</si>
  <si>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</si>
  <si>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</si>
  <si>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</si>
  <si>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</si>
  <si>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</si>
  <si>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</si>
  <si>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</si>
  <si>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</si>
  <si>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</si>
  <si>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</si>
  <si>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</si>
  <si>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</si>
  <si>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</si>
  <si>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</si>
  <si>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</si>
  <si>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</si>
  <si>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</si>
  <si>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</si>
  <si>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</si>
  <si>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</si>
  <si>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</si>
  <si>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</si>
  <si>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</si>
  <si>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</si>
  <si>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</si>
  <si>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</si>
  <si>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</si>
  <si>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</si>
  <si>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</si>
  <si>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</si>
  <si>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</si>
  <si>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</si>
  <si>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</si>
  <si>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</si>
  <si>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</si>
  <si>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</si>
  <si>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</si>
  <si>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</si>
  <si>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</si>
  <si>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</si>
  <si>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</si>
  <si>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</si>
  <si>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</si>
  <si>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</si>
  <si>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</si>
  <si>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</si>
  <si>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</si>
  <si>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</si>
  <si>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</si>
  <si>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</si>
  <si>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</si>
  <si>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</si>
  <si>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</si>
  <si>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</si>
  <si>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</si>
  <si>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</si>
  <si>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</si>
  <si>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</si>
  <si>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</si>
  <si>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</si>
  <si>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</si>
  <si>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</si>
  <si>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</si>
  <si>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</si>
  <si>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</si>
  <si>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</si>
  <si>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</si>
  <si>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</si>
  <si>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</si>
  <si>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</si>
  <si>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</si>
  <si>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</si>
  <si>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</si>
  <si>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</si>
  <si>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</si>
  <si>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</si>
  <si>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</si>
  <si>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</si>
  <si>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</si>
  <si>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</si>
  <si>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</si>
  <si>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</si>
  <si>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</si>
  <si>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</si>
  <si>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</si>
  <si>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</si>
  <si>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</si>
  <si>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</si>
  <si>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</si>
  <si>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</si>
  <si>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</si>
  <si>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</si>
  <si>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</si>
  <si>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</si>
  <si>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</si>
  <si>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</si>
  <si>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</si>
  <si>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</si>
  <si>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</si>
  <si>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</si>
  <si>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</si>
  <si>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</si>
  <si>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</si>
  <si>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</si>
  <si>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</si>
  <si>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</si>
  <si>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</si>
  <si>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</si>
  <si>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</si>
  <si>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</si>
  <si>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</si>
  <si>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</si>
  <si>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</si>
  <si>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</si>
  <si>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</si>
  <si>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</si>
  <si>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</si>
  <si>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</si>
  <si>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</si>
  <si>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</si>
  <si>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</si>
  <si>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</si>
  <si>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</si>
  <si>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</si>
  <si>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</si>
  <si>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</si>
  <si>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</si>
  <si>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</si>
  <si>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</si>
  <si>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</si>
  <si>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</si>
  <si>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</si>
  <si>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</si>
  <si>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</si>
  <si>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</si>
  <si>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</si>
  <si>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</si>
  <si>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</si>
  <si>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</si>
  <si>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</si>
  <si>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</si>
  <si>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</si>
  <si>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</si>
  <si>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</si>
  <si>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</si>
  <si>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</si>
  <si>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</si>
  <si>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</si>
  <si>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</si>
  <si>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</si>
  <si>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</si>
  <si>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</si>
  <si>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</si>
  <si>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</si>
  <si>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</si>
  <si>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</si>
  <si>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</si>
  <si>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</si>
  <si>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</si>
  <si>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</si>
  <si>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</si>
  <si>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</si>
  <si>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</si>
  <si>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</si>
  <si>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</si>
  <si>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</si>
  <si>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</si>
  <si>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</si>
  <si>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</si>
  <si>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</si>
  <si>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</si>
  <si>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</si>
  <si>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</si>
  <si>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</si>
  <si>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</si>
  <si>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</si>
  <si>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</si>
  <si>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</si>
  <si>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</si>
  <si>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</si>
  <si>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</si>
  <si>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</si>
  <si>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</si>
  <si>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</si>
  <si>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</si>
  <si>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</si>
  <si>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</si>
  <si>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</si>
  <si>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</si>
  <si>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</si>
  <si>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</si>
  <si>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</si>
  <si>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</si>
  <si>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</si>
  <si>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</si>
  <si>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</si>
  <si>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</si>
  <si>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</si>
  <si>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</si>
  <si>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</si>
  <si>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</si>
  <si>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</si>
  <si>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</si>
  <si>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</si>
  <si>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</si>
  <si>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</si>
  <si>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</si>
  <si>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</si>
  <si>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</si>
  <si>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</si>
  <si>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</si>
  <si>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</si>
  <si>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</si>
  <si>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</si>
  <si>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</si>
  <si>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</si>
  <si>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</si>
  <si>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</si>
  <si>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</si>
  <si>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</si>
  <si>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</si>
  <si>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</si>
  <si>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</si>
  <si>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</si>
  <si>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</si>
  <si>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</si>
  <si>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</si>
  <si>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</si>
  <si>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</si>
  <si>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</si>
  <si>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</si>
  <si>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</si>
  <si>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</si>
  <si>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</si>
  <si>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</si>
  <si>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</si>
  <si>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</si>
  <si>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</si>
  <si>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</si>
  <si>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</si>
  <si>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</si>
  <si>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</si>
  <si>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</si>
  <si>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</si>
  <si>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</si>
  <si>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</si>
  <si>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</si>
  <si>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</si>
  <si>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</si>
  <si>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</si>
  <si>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</si>
  <si>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</si>
  <si>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</si>
  <si>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</si>
  <si>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</si>
  <si>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</si>
  <si>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</si>
  <si>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</si>
  <si>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</si>
  <si>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</si>
  <si>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</si>
  <si>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</si>
  <si>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</si>
  <si>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</si>
  <si>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</si>
  <si>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</si>
  <si>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</si>
  <si>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</si>
  <si>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</si>
  <si>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</si>
  <si>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</si>
  <si>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</si>
  <si>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</si>
  <si>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</si>
  <si>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</si>
  <si>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</si>
  <si>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</si>
  <si>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</si>
  <si>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</si>
  <si>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</si>
  <si>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</si>
  <si>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</si>
  <si>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</si>
  <si>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</si>
  <si>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</si>
  <si>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</si>
  <si>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</si>
  <si>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</si>
  <si>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</si>
  <si>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</si>
  <si>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</si>
  <si>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</si>
  <si>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</si>
  <si>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</si>
  <si>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</si>
  <si>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</si>
  <si>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</si>
  <si>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</si>
  <si>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</si>
  <si>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</si>
  <si>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</si>
  <si>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</si>
  <si>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</si>
  <si>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</si>
  <si>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</si>
  <si>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</si>
  <si>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</si>
  <si>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</si>
  <si>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</si>
  <si>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</si>
  <si>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</si>
  <si>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</si>
  <si>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</si>
  <si>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</si>
  <si>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</si>
  <si>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</si>
  <si>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</si>
  <si>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</si>
  <si>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</si>
  <si>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</si>
  <si>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</si>
  <si>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</si>
  <si>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</si>
  <si>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</si>
  <si>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</si>
  <si>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</si>
  <si>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</si>
  <si>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</si>
  <si>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</si>
  <si>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</si>
  <si>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</si>
  <si>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</si>
  <si>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</si>
  <si>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</si>
  <si>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</si>
  <si>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</si>
  <si>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</si>
  <si>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</si>
  <si>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</si>
  <si>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</si>
  <si>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</si>
  <si>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</si>
  <si>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</si>
  <si>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</si>
  <si>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</si>
  <si>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</si>
  <si>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</si>
  <si>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</si>
  <si>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</si>
  <si>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</si>
  <si>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</si>
  <si>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</si>
  <si>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</si>
  <si>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</si>
  <si>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</si>
  <si>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</si>
  <si>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</si>
  <si>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</si>
  <si>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</si>
  <si>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</si>
  <si>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</si>
  <si>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</si>
  <si>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</si>
  <si>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</si>
  <si>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</si>
  <si>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</si>
  <si>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</si>
  <si>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</si>
  <si>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</si>
  <si>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</si>
  <si>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</si>
  <si>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</si>
  <si>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</si>
  <si>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</si>
  <si>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</si>
  <si>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</si>
  <si>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</si>
  <si>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</si>
  <si>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</si>
  <si>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</si>
  <si>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</si>
  <si>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</si>
  <si>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</si>
  <si>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</si>
  <si>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</si>
  <si>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</si>
  <si>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</si>
  <si>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</si>
  <si>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</si>
  <si>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</si>
  <si>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</si>
  <si>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</si>
  <si>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</si>
  <si>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</si>
  <si>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</si>
  <si>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</si>
  <si>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</si>
  <si>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</si>
  <si>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</si>
  <si>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</si>
  <si>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</si>
  <si>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</si>
  <si>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</si>
  <si>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</si>
  <si>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</si>
  <si>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</si>
  <si>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</si>
  <si>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</si>
  <si>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</si>
  <si>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</si>
  <si>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</si>
  <si>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</si>
  <si>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</si>
  <si>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</si>
  <si>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</si>
  <si>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</si>
  <si>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</si>
  <si>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</si>
  <si>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</si>
  <si>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</si>
  <si>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</si>
  <si>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</si>
  <si>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</si>
  <si>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</si>
  <si>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</si>
  <si>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</si>
  <si>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</si>
  <si>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</si>
  <si>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</si>
  <si>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</si>
  <si>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</si>
  <si>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</si>
  <si>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</si>
  <si>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</si>
  <si>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</si>
  <si>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</si>
  <si>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</si>
  <si>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</si>
  <si>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</si>
  <si>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</si>
  <si>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</si>
  <si>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</si>
  <si>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</si>
  <si>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</si>
  <si>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</si>
  <si>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</si>
  <si>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</si>
  <si>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</si>
  <si>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</si>
  <si>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</si>
  <si>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</si>
  <si>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</si>
  <si>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</si>
  <si>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</si>
  <si>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</si>
  <si>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</si>
  <si>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</si>
  <si>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</si>
  <si>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</si>
  <si>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</si>
  <si>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</si>
  <si>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</si>
  <si>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</si>
  <si>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</si>
  <si>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</si>
  <si>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</si>
  <si>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</si>
  <si>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</si>
  <si>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</si>
  <si>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</si>
  <si>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</si>
  <si>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</si>
  <si>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</si>
  <si>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</si>
  <si>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</si>
  <si>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</si>
  <si>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</si>
  <si>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</si>
  <si>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</si>
  <si>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</si>
  <si>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</si>
  <si>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</si>
  <si>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</si>
  <si>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</si>
  <si>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</si>
  <si>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</si>
  <si>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</si>
  <si>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</si>
  <si>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</si>
  <si>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</si>
  <si>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</si>
  <si>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</si>
  <si>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</si>
  <si>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</si>
  <si>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</si>
  <si>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</si>
  <si>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</si>
  <si>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</si>
  <si>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</si>
  <si>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</si>
  <si>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</si>
  <si>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</si>
  <si>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</si>
  <si>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</si>
  <si>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</si>
  <si>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</si>
  <si>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</si>
  <si>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</si>
  <si>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</si>
  <si>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</si>
  <si>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</si>
  <si>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</si>
  <si>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</si>
  <si>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</si>
  <si>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</si>
  <si>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</si>
  <si>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</si>
  <si>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</si>
  <si>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</si>
  <si>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</si>
  <si>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</si>
  <si>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</si>
  <si>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</si>
  <si>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</si>
  <si>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</si>
  <si>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</si>
  <si>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</si>
  <si>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</si>
  <si>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</si>
  <si>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</si>
  <si>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</si>
  <si>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</si>
  <si>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</si>
  <si>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</si>
  <si>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</si>
  <si>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</si>
  <si>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</si>
  <si>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</si>
  <si>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</si>
  <si>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</si>
  <si>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</si>
  <si>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</si>
  <si>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</si>
  <si>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</si>
  <si>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</si>
  <si>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</si>
  <si>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</si>
  <si>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</si>
  <si>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</si>
  <si>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</si>
  <si>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</si>
  <si>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</si>
  <si>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</si>
  <si>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</si>
  <si>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</si>
  <si>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</si>
  <si>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</si>
  <si>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</si>
  <si>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</si>
  <si>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</si>
  <si>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</si>
  <si>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</si>
  <si>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</si>
  <si>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</si>
  <si>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</si>
  <si>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</si>
  <si>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</si>
  <si>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</si>
  <si>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</si>
  <si>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</si>
  <si>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</si>
  <si>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</si>
  <si>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</si>
  <si>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</si>
  <si>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</si>
  <si>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</si>
  <si>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</si>
  <si>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</si>
  <si>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</si>
  <si>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</si>
  <si>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</si>
  <si>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</si>
  <si>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</si>
  <si>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</si>
  <si>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</si>
  <si>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</si>
  <si>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</si>
  <si>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</si>
  <si>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</si>
  <si>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</si>
  <si>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</si>
  <si>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</si>
  <si>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</si>
  <si>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</si>
  <si>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</si>
  <si>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</si>
  <si>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</si>
  <si>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</si>
  <si>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</si>
  <si>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</si>
  <si>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</si>
  <si>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</si>
  <si>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</si>
  <si>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</si>
  <si>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</si>
  <si>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</si>
  <si>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</si>
  <si>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</si>
  <si>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</si>
  <si>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</si>
  <si>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</si>
  <si>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</si>
  <si>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</si>
  <si>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</si>
  <si>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</si>
  <si>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</si>
  <si>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</si>
  <si>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</si>
  <si>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</si>
  <si>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</si>
  <si>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</si>
  <si>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</si>
  <si>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</si>
  <si>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</si>
  <si>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</si>
  <si>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</si>
  <si>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</si>
  <si>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</si>
  <si>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</si>
  <si>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</si>
  <si>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</si>
  <si>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</si>
  <si>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</si>
  <si>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</si>
  <si>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</si>
  <si>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</si>
  <si>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</si>
  <si>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</si>
  <si>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</si>
  <si>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</si>
  <si>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</si>
  <si>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</si>
  <si>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</si>
  <si>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</si>
  <si>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</si>
  <si>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</si>
  <si>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</si>
  <si>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</si>
  <si>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</si>
  <si>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</si>
  <si>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</si>
  <si>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</si>
  <si>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</si>
  <si>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</si>
  <si>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</si>
  <si>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</si>
  <si>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</si>
  <si>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</si>
  <si>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</si>
  <si>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</si>
  <si>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</si>
  <si>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</si>
  <si>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</si>
  <si>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</si>
  <si>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</si>
  <si>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</si>
  <si>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</si>
  <si>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</si>
  <si>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</si>
  <si>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</si>
  <si>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</si>
  <si>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</si>
  <si>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</si>
  <si>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</si>
  <si>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</si>
  <si>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</si>
  <si>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</si>
  <si>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</si>
  <si>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</si>
  <si>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</si>
  <si>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</si>
  <si>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</si>
  <si>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</si>
  <si>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</si>
  <si>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</si>
  <si>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</si>
  <si>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</si>
  <si>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</si>
  <si>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</si>
  <si>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</si>
  <si>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</si>
  <si>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</si>
  <si>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</si>
  <si>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</si>
  <si>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</si>
  <si>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</si>
  <si>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</si>
  <si>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</si>
  <si>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</si>
  <si>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</si>
  <si>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</si>
  <si>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</si>
  <si>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</si>
  <si>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</si>
  <si>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</si>
  <si>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</si>
  <si>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</si>
  <si>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</si>
  <si>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</si>
  <si>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</si>
  <si>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</si>
  <si>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</si>
  <si>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</si>
  <si>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</si>
  <si>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</si>
  <si>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</si>
  <si>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</si>
  <si>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</si>
  <si>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</si>
  <si>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</si>
  <si>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</si>
  <si>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</si>
  <si>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</si>
  <si>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</si>
  <si>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</si>
  <si>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</si>
  <si>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</si>
  <si>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</si>
  <si>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</si>
  <si>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</si>
  <si>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</si>
  <si>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</si>
  <si>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</si>
  <si>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</si>
  <si>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</si>
  <si>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</si>
  <si>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</si>
  <si>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</si>
  <si>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</si>
  <si>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</si>
  <si>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</si>
  <si>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</si>
  <si>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</si>
  <si>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</si>
  <si>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</si>
  <si>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</si>
  <si>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</si>
  <si>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</si>
  <si>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</si>
  <si>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</si>
  <si>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</si>
  <si>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</si>
  <si>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</si>
  <si>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</si>
  <si>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</si>
  <si>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</si>
  <si>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</si>
  <si>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</si>
  <si>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</si>
  <si>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</si>
  <si>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</si>
  <si>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</si>
  <si>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</si>
  <si>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</si>
  <si>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</si>
  <si>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</si>
  <si>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</si>
  <si>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</si>
  <si>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</si>
  <si>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</si>
  <si>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</si>
  <si>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</si>
  <si>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</si>
  <si>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</si>
  <si>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</si>
  <si>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</si>
  <si>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</si>
  <si>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</si>
  <si>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</si>
  <si>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</si>
  <si>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</si>
  <si>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</si>
  <si>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</si>
  <si>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</si>
  <si>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</si>
  <si>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</si>
  <si>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</si>
  <si>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</si>
  <si>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</si>
  <si>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</si>
  <si>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</si>
  <si>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</si>
  <si>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</si>
  <si>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</si>
  <si>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</si>
  <si>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</si>
  <si>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</si>
  <si>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</si>
  <si>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</si>
  <si>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</si>
  <si>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</si>
  <si>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</si>
  <si>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</si>
  <si>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</si>
  <si>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</si>
  <si>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</si>
  <si>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</si>
  <si>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</si>
  <si>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</si>
  <si>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</si>
  <si>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</si>
  <si>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</si>
  <si>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</si>
  <si>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</si>
  <si>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</si>
  <si>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</si>
  <si>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</si>
  <si>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</si>
  <si>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</si>
  <si>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</si>
  <si>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</si>
  <si>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</si>
  <si>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</si>
  <si>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</si>
  <si>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</si>
  <si>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</si>
  <si>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</si>
  <si>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</si>
  <si>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</si>
  <si>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</si>
  <si>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</si>
  <si>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</si>
  <si>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</si>
  <si>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</si>
  <si>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</si>
  <si>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</si>
  <si>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</si>
  <si>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</si>
  <si>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</si>
  <si>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</si>
  <si>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</si>
  <si>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</si>
  <si>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</si>
  <si>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</si>
  <si>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</si>
  <si>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</si>
  <si>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</si>
  <si>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</si>
  <si>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</si>
  <si>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</si>
  <si>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</si>
  <si>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</si>
  <si>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</si>
  <si>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</si>
  <si>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</si>
  <si>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</si>
  <si>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</si>
  <si>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</si>
  <si>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</si>
  <si>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</si>
  <si>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</si>
  <si>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</si>
  <si>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</si>
  <si>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</si>
  <si>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</si>
  <si>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</si>
  <si>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</si>
  <si>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</si>
  <si>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</si>
  <si>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</si>
  <si>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</si>
  <si>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</si>
  <si>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</si>
  <si>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</si>
  <si>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</si>
  <si>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</si>
  <si>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</si>
  <si>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</si>
  <si>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</si>
  <si>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</si>
  <si>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</si>
  <si>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</si>
  <si>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</si>
  <si>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</si>
  <si>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</si>
  <si>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</si>
  <si>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</si>
  <si>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</si>
  <si>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</si>
  <si>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</si>
  <si>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</si>
  <si>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</si>
  <si>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</si>
  <si>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</si>
  <si>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</si>
  <si>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</si>
  <si>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</si>
  <si>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</si>
  <si>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</si>
  <si>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</si>
  <si>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</si>
  <si>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</si>
  <si>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</si>
  <si>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</si>
  <si>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</si>
  <si>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</si>
  <si>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</si>
  <si>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</si>
  <si>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</si>
  <si>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</si>
  <si>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</si>
  <si>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</si>
  <si>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</si>
  <si>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</si>
  <si>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</si>
  <si>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</si>
  <si>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</si>
  <si>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</si>
  <si>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</si>
  <si>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</si>
  <si>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</si>
  <si>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</si>
  <si>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</si>
  <si>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</si>
  <si>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</si>
  <si>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</si>
  <si>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</si>
  <si>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</si>
  <si>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</si>
  <si>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</si>
  <si>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</si>
  <si>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</si>
  <si>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</si>
  <si>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</si>
  <si>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</si>
  <si>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</si>
  <si>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</si>
  <si>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</si>
  <si>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</si>
  <si>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</si>
  <si>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</si>
  <si>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</si>
  <si>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</si>
  <si>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</si>
  <si>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</si>
  <si>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</si>
  <si>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</si>
  <si>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</si>
  <si>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</si>
  <si>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</si>
  <si>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</si>
  <si>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</si>
  <si>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</si>
  <si>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</si>
  <si>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</si>
  <si>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</si>
  <si>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</si>
  <si>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</si>
  <si>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</si>
  <si>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</si>
  <si>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</si>
  <si>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</si>
  <si>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</si>
  <si>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</si>
  <si>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</si>
  <si>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</si>
  <si>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</si>
  <si>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</si>
  <si>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</si>
  <si>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</si>
  <si>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</si>
  <si>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</si>
  <si>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</si>
  <si>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</si>
  <si>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</si>
  <si>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</si>
  <si>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</si>
  <si>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</si>
  <si>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</si>
  <si>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</si>
  <si>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</si>
  <si>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</si>
  <si>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</si>
  <si>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</si>
  <si>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</si>
  <si>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</si>
  <si>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</si>
  <si>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</si>
  <si>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</si>
  <si>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</si>
  <si>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</si>
  <si>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</si>
  <si>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</si>
  <si>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</si>
  <si>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</si>
  <si>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</si>
  <si>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</si>
  <si>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</si>
  <si>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</si>
  <si>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</si>
  <si>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</si>
  <si>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</si>
  <si>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</si>
  <si>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</si>
  <si>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</si>
  <si>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</si>
  <si>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</si>
  <si>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</si>
  <si>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</si>
  <si>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</si>
  <si>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</si>
  <si>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</si>
  <si>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</si>
  <si>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</si>
  <si>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</si>
  <si>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</si>
  <si>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</si>
  <si>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</si>
  <si>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</si>
  <si>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</si>
  <si>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</si>
  <si>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</si>
  <si>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</si>
  <si>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</si>
  <si>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</si>
  <si>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</si>
  <si>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</si>
  <si>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</si>
  <si>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</si>
  <si>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</si>
  <si>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</si>
  <si>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</si>
  <si>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</si>
  <si>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</si>
  <si>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</si>
  <si>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</si>
  <si>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</si>
  <si>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</si>
  <si>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</si>
  <si>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</si>
  <si>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</si>
  <si>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</si>
  <si>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</si>
  <si>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</si>
  <si>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</si>
  <si>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</si>
  <si>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</si>
  <si>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</si>
  <si>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</si>
  <si>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</si>
  <si>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</si>
  <si>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</si>
  <si>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</si>
  <si>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</si>
  <si>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</si>
  <si>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</si>
  <si>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</si>
  <si>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</si>
  <si>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</si>
  <si>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</si>
  <si>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</si>
  <si>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</si>
  <si>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</si>
  <si>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</si>
  <si>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</si>
  <si>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</si>
  <si>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</si>
  <si>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</si>
  <si>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</si>
  <si>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</si>
  <si>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</si>
  <si>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</si>
  <si>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</si>
  <si>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</si>
  <si>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</si>
  <si>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</si>
  <si>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</si>
  <si>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</si>
  <si>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</si>
  <si>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</si>
  <si>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</si>
  <si>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</si>
  <si>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</si>
  <si>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</si>
  <si>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</si>
  <si>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</si>
  <si>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</si>
  <si>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</si>
  <si>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</si>
  <si>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</si>
  <si>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</si>
  <si>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</si>
  <si>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</si>
  <si>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</si>
  <si>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</si>
  <si>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</si>
  <si>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</si>
  <si>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</si>
  <si>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</si>
  <si>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</si>
  <si>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</si>
  <si>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</si>
  <si>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</si>
  <si>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</si>
  <si>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</si>
  <si>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</si>
  <si>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</si>
  <si>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</si>
  <si>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</si>
  <si>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</si>
  <si>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</si>
  <si>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</si>
  <si>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</si>
  <si>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</si>
  <si>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</si>
  <si>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</si>
  <si>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</si>
  <si>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</si>
  <si>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</si>
  <si>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</si>
  <si>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</si>
  <si>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</si>
  <si>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</si>
  <si>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</si>
  <si>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</si>
  <si>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</si>
  <si>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</si>
  <si>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</si>
  <si>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</si>
  <si>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</si>
  <si>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</si>
  <si>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</si>
  <si>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</si>
  <si>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</si>
  <si>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</si>
  <si>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</si>
  <si>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</si>
  <si>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</si>
  <si>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</si>
  <si>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</si>
  <si>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</si>
  <si>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</si>
  <si>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</si>
  <si>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</si>
  <si>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</si>
  <si>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</si>
  <si>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</si>
  <si>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</si>
  <si>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</si>
  <si>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</si>
  <si>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</si>
  <si>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</si>
  <si>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</si>
  <si>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</si>
  <si>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</si>
  <si>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</si>
  <si>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</si>
  <si>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PALENCIA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</si>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</sst>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vabMoWnarggGZv2z0Qt4d3Em6RSHEcCeqgecW4SCikTcR3Xc27mmIaW21DuzLLE5MIqP4WgNtjTZSC5ZJyt/Q==" saltValue="6aNgICiTCcI/Pbm6i3vVi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57</v>
      </c>
      <c r="D10" s="239">
        <f>IF(ISNUMBER(Datos!I10),Datos!I10," - ")</f>
        <v>57</v>
      </c>
      <c r="E10" s="240">
        <f>IF(ISNUMBER(Datos!J10),Datos!J10," - ")</f>
        <v>8</v>
      </c>
      <c r="F10" s="240">
        <f>IF(ISNUMBER(Datos!K10),Datos!K10," - ")</f>
        <v>19</v>
      </c>
      <c r="G10" s="1390" t="str">
        <f>IF(Datos!E10&lt;&gt;"",Datos!E10,Datos!D10)</f>
        <v>37</v>
      </c>
      <c r="H10" s="241">
        <f>IF(ISNUMBER(Datos!L10),Datos!L10," - ")</f>
        <v>46</v>
      </c>
      <c r="I10" s="1400" t="str">
        <f>IF(ISNUMBER(Datos!AS10/Datos!BM10),Datos!AS10/Datos!BM10," - ")</f>
        <v xml:space="preserve"> - </v>
      </c>
      <c r="J10" s="1401">
        <f>IF(ISNUMBER(Datos!BY10/Datos!CN10),Datos!BY10/Datos!CN10," - ")</f>
        <v>0</v>
      </c>
      <c r="K10" s="244">
        <f t="shared" ref="K10:K13" si="1">IF(ISNUMBER((E10-F10)/C10),(E10-F10)/C10," - ")</f>
        <v>-0.19298245614035087</v>
      </c>
      <c r="L10" s="1402">
        <f>IF(ISNUMBER(NºAsuntos!I10/NºAsuntos!G10),(NºAsuntos!I10/NºAsuntos!G10)*11," - ")</f>
        <v>26.631578947368421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20.068257123923129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57</v>
      </c>
      <c r="D14" s="1407">
        <f>SUBTOTAL(9,D9:D13)</f>
        <v>57</v>
      </c>
      <c r="E14" s="1408">
        <f>SUBTOTAL(9,E9:E13)</f>
        <v>8</v>
      </c>
      <c r="F14" s="1409">
        <f>SUBTOTAL(9,F9:F13)</f>
        <v>19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2055</v>
      </c>
      <c r="D17" s="239">
        <f>IF(ISNUMBER(IF(D_I="SI",Datos!I17,Datos!I17+Datos!AC17)),IF(D_I="SI",Datos!I17,Datos!I17+Datos!AC17)," - ")</f>
        <v>2134</v>
      </c>
      <c r="E17" s="240">
        <f>IF(ISNUMBER(IF(D_I="SI",Datos!J17,Datos!J17+Datos!AD17)),IF(D_I="SI",Datos!J17,Datos!J17+Datos!AD17)," - ")</f>
        <v>1719</v>
      </c>
      <c r="F17" s="240">
        <f>IF(ISNUMBER(IF(D_I="SI",Datos!K17,Datos!K17+Datos!AE17)),IF(D_I="SI",Datos!K17,Datos!K17+Datos!AE17)," - ")</f>
        <v>1875</v>
      </c>
      <c r="G17" s="1390" t="str">
        <f>IF(Datos!E17&lt;&gt;"",Datos!E17,Datos!D17)</f>
        <v>04</v>
      </c>
      <c r="H17" s="241">
        <f>IF(ISNUMBER(IF(D_I="SI",Datos!L17,Datos!L17+Datos!AF17)),IF(D_I="SI",Datos!L17,Datos!L17+Datos!AF17)," - ")</f>
        <v>1899</v>
      </c>
      <c r="I17" s="1400" t="str">
        <f>IF(ISNUMBER(Datos!AS17/Datos!BM17),Datos!AS17/Datos!BM17," - ")</f>
        <v xml:space="preserve"> - </v>
      </c>
      <c r="J17" s="1401">
        <f>IF(ISNUMBER(Datos!BY17/Datos!CN17),Datos!BY17/Datos!CN17," - ")</f>
        <v>0</v>
      </c>
      <c r="K17" s="244">
        <f t="shared" si="3"/>
        <v>-7.5912408759124084E-2</v>
      </c>
      <c r="L17" s="1402">
        <f>IF(ISNUMBER(NºAsuntos!I17/NºAsuntos!G17),(NºAsuntos!I17/NºAsuntos!G17)*11," - ")</f>
        <v>11.140799999999999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251</v>
      </c>
      <c r="D18" s="239">
        <f>IF(ISNUMBER(IF(D_I="SI",Datos!I18,Datos!I18+Datos!AC18)),IF(D_I="SI",Datos!I18,Datos!I18+Datos!AC18)," - ")</f>
        <v>251</v>
      </c>
      <c r="E18" s="240">
        <f>IF(ISNUMBER(IF(D_I="SI",Datos!J18,Datos!J18+Datos!AD18)),IF(D_I="SI",Datos!J18,Datos!J18+Datos!AD18)," - ")</f>
        <v>133</v>
      </c>
      <c r="F18" s="240">
        <f>IF(ISNUMBER(IF(D_I="SI",Datos!K18,Datos!K18+Datos!AE18)),IF(D_I="SI",Datos!K18,Datos!K18+Datos!AE18)," - ")</f>
        <v>109</v>
      </c>
      <c r="G18" s="1390" t="str">
        <f>IF(Datos!E18&lt;&gt;"",Datos!E18,Datos!D18)</f>
        <v>37</v>
      </c>
      <c r="H18" s="241">
        <f>IF(ISNUMBER(IF(D_I="SI",Datos!L18,Datos!L18+Datos!AF18)),IF(D_I="SI",Datos!L18,Datos!L18+Datos!AF18)," - ")</f>
        <v>275</v>
      </c>
      <c r="I18" s="1400" t="str">
        <f>IF(ISNUMBER(Datos!AS18/Datos!BM18),Datos!AS18/Datos!BM18," - ")</f>
        <v xml:space="preserve"> - </v>
      </c>
      <c r="J18" s="1401" t="str">
        <f>IF(ISNUMBER((Datos!BY18+Datos!BZ18)/Datos!CN18),(Datos!BY18+Datos!BZ18)/Datos!CN18," - ")</f>
        <v xml:space="preserve"> - </v>
      </c>
      <c r="K18" s="244">
        <f t="shared" si="3"/>
        <v>9.5617529880478086E-2</v>
      </c>
      <c r="L18" s="1402">
        <f>IF(ISNUMBER(NºAsuntos!I18/NºAsuntos!G18),(NºAsuntos!I18/NºAsuntos!G18)*11," - ")</f>
        <v>27.752293577981654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2306</v>
      </c>
      <c r="D23" s="1407">
        <f>SUBTOTAL(9,D16:D22)</f>
        <v>2385</v>
      </c>
      <c r="E23" s="1408">
        <f>SUBTOTAL(9,E16:E22)</f>
        <v>1852</v>
      </c>
      <c r="F23" s="1408">
        <f>SUBTOTAL(9,F16:F22)</f>
        <v>1984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2363</v>
      </c>
      <c r="D31" s="1435">
        <f>SUBTOTAL(9,D9:D30)</f>
        <v>2442</v>
      </c>
      <c r="E31" s="1436">
        <f>SUBTOTAL(9,E9:E30)</f>
        <v>1860</v>
      </c>
      <c r="F31" s="1436">
        <f>SUBTOTAL(9,F9:F30)</f>
        <v>2003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nUw1ZJZGVHfldp6UDzo5T/rufaSnIgLmUX+7w6mqL6jWtLdR6KTmFIEfnm4CmHHv3NdxHv0yKzr4pIRMB+yDSA==" saltValue="dALGvBr/4lUT7cjp+CqZe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aBeVvZX4xfOXHj/Eb521NIqrs7k8s20PzTzhjIeKGw5iJxfntoiz2BN9An7dgzA5CSoIvDwo3pih6l2SEDSnUw==" saltValue="mi/CVkiYosnPBjphRaSxE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57</v>
      </c>
      <c r="J10" s="194">
        <v>8</v>
      </c>
      <c r="K10" s="194">
        <v>19</v>
      </c>
      <c r="L10" s="194">
        <v>46</v>
      </c>
      <c r="M10" s="194">
        <v>14</v>
      </c>
      <c r="N10" s="194">
        <v>4</v>
      </c>
      <c r="O10" s="194">
        <v>1</v>
      </c>
      <c r="P10" s="194">
        <v>0</v>
      </c>
      <c r="Q10" s="194">
        <v>0</v>
      </c>
      <c r="R10" s="194">
        <v>0</v>
      </c>
      <c r="S10" s="194">
        <v>26</v>
      </c>
      <c r="T10" s="194">
        <v>7</v>
      </c>
      <c r="U10" s="194">
        <v>9</v>
      </c>
      <c r="V10" s="194">
        <v>24</v>
      </c>
      <c r="W10" s="194">
        <v>6</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26</v>
      </c>
      <c r="AZ10" s="139">
        <f t="shared" si="0"/>
        <v>7</v>
      </c>
      <c r="BA10" s="139">
        <f t="shared" si="0"/>
        <v>9</v>
      </c>
      <c r="BB10" s="139">
        <f t="shared" si="0"/>
        <v>24</v>
      </c>
      <c r="BC10" s="135">
        <f t="shared" si="0"/>
        <v>6</v>
      </c>
      <c r="BD10" s="136">
        <f>IF(ISNUMBER(BA10/AZ10),BA10/AZ10," - ")</f>
        <v>1.2857142857142858</v>
      </c>
      <c r="BE10" s="137">
        <f>IF(ISNUMBER(BB10/BA10),BB10/BA10, " - ")</f>
        <v>2.6666666666666665</v>
      </c>
      <c r="BF10" s="137">
        <f>IF(ISNUMBER(BC10/BA10),BC10/BA10, " - ")</f>
        <v>0.66666666666666663</v>
      </c>
      <c r="BG10" s="209">
        <f>IF(ISNUMBER((AY10+AZ10)/BA10),(AY10+AZ10)/BA10," - ")</f>
        <v>3.6666666666666665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2550</v>
      </c>
      <c r="J12" s="196">
        <v>1281</v>
      </c>
      <c r="K12" s="196">
        <v>1334</v>
      </c>
      <c r="L12" s="196">
        <v>2564</v>
      </c>
      <c r="M12" s="196">
        <v>546</v>
      </c>
      <c r="N12" s="196">
        <v>413</v>
      </c>
      <c r="O12" s="194">
        <v>691</v>
      </c>
      <c r="P12" s="196">
        <v>349</v>
      </c>
      <c r="Q12" s="196">
        <v>365</v>
      </c>
      <c r="R12" s="196">
        <v>5839</v>
      </c>
      <c r="S12" s="196">
        <v>3634</v>
      </c>
      <c r="T12" s="196">
        <v>1186</v>
      </c>
      <c r="U12" s="196">
        <v>1668</v>
      </c>
      <c r="V12" s="196">
        <v>3196</v>
      </c>
      <c r="W12" s="196">
        <v>755</v>
      </c>
      <c r="X12" s="202">
        <v>463</v>
      </c>
      <c r="Y12" s="204">
        <v>254</v>
      </c>
      <c r="Z12" s="194">
        <v>153</v>
      </c>
      <c r="AA12" s="194">
        <v>175</v>
      </c>
      <c r="AB12" s="194">
        <v>189</v>
      </c>
      <c r="AC12" s="196">
        <v>0</v>
      </c>
      <c r="AD12" s="196">
        <v>0</v>
      </c>
      <c r="AE12" s="196">
        <v>0</v>
      </c>
      <c r="AF12" s="202">
        <v>0</v>
      </c>
      <c r="AG12" s="215">
        <v>449</v>
      </c>
      <c r="AH12" s="196">
        <v>206</v>
      </c>
      <c r="AI12" s="196">
        <v>224</v>
      </c>
      <c r="AJ12" s="216">
        <v>337</v>
      </c>
      <c r="AK12" s="195">
        <v>0</v>
      </c>
      <c r="AL12" s="196">
        <v>0</v>
      </c>
      <c r="AM12" s="196">
        <v>0</v>
      </c>
      <c r="AN12" s="202">
        <v>0</v>
      </c>
      <c r="AO12" s="283">
        <v>7</v>
      </c>
      <c r="AP12" s="168">
        <v>7</v>
      </c>
      <c r="AQ12" s="168">
        <v>7</v>
      </c>
      <c r="AR12" s="167">
        <v>7</v>
      </c>
      <c r="AS12" s="381" t="s">
        <v>1075</v>
      </c>
      <c r="AT12" s="216"/>
      <c r="AU12" s="215"/>
      <c r="AV12" s="216"/>
      <c r="AW12" s="215"/>
      <c r="AX12" s="216"/>
      <c r="AY12" s="136">
        <f t="shared" si="1"/>
        <v>4083</v>
      </c>
      <c r="AZ12" s="137">
        <f t="shared" si="1"/>
        <v>1392</v>
      </c>
      <c r="BA12" s="137">
        <f t="shared" si="1"/>
        <v>1892</v>
      </c>
      <c r="BB12" s="137">
        <f t="shared" si="1"/>
        <v>3533</v>
      </c>
      <c r="BC12" s="135">
        <f>IF(ISNUMBER(X12),X12," - ")</f>
        <v>463</v>
      </c>
      <c r="BD12" s="136">
        <f t="shared" si="2"/>
        <v>1.3591954022988506</v>
      </c>
      <c r="BE12" s="137">
        <f t="shared" si="3"/>
        <v>1.8673361522198733</v>
      </c>
      <c r="BF12" s="137">
        <f t="shared" si="4"/>
        <v>0.24471458773784355</v>
      </c>
      <c r="BG12" s="209">
        <f t="shared" si="5"/>
        <v>2.8937632135306552</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2607</v>
      </c>
      <c r="J14" s="197">
        <f t="shared" si="7"/>
        <v>1289</v>
      </c>
      <c r="K14" s="197">
        <f t="shared" si="7"/>
        <v>1353</v>
      </c>
      <c r="L14" s="197">
        <f t="shared" si="7"/>
        <v>2610</v>
      </c>
      <c r="M14" s="197">
        <f t="shared" si="7"/>
        <v>560</v>
      </c>
      <c r="N14" s="197">
        <f t="shared" si="7"/>
        <v>417</v>
      </c>
      <c r="O14" s="197">
        <f t="shared" si="7"/>
        <v>692</v>
      </c>
      <c r="P14" s="197">
        <f t="shared" si="7"/>
        <v>349</v>
      </c>
      <c r="Q14" s="197">
        <f t="shared" si="7"/>
        <v>365</v>
      </c>
      <c r="R14" s="197">
        <f t="shared" si="7"/>
        <v>5839</v>
      </c>
      <c r="S14" s="197">
        <f t="shared" si="7"/>
        <v>3660</v>
      </c>
      <c r="T14" s="197">
        <f t="shared" si="7"/>
        <v>1193</v>
      </c>
      <c r="U14" s="197">
        <f t="shared" si="7"/>
        <v>1677</v>
      </c>
      <c r="V14" s="197">
        <f t="shared" si="7"/>
        <v>3220</v>
      </c>
      <c r="W14" s="197">
        <f t="shared" si="7"/>
        <v>761</v>
      </c>
      <c r="X14" s="197">
        <f t="shared" si="7"/>
        <v>466</v>
      </c>
      <c r="Y14" s="197">
        <f t="shared" si="7"/>
        <v>254</v>
      </c>
      <c r="Z14" s="197">
        <f t="shared" si="7"/>
        <v>153</v>
      </c>
      <c r="AA14" s="197">
        <f t="shared" si="7"/>
        <v>175</v>
      </c>
      <c r="AB14" s="197">
        <f t="shared" si="7"/>
        <v>189</v>
      </c>
      <c r="AC14" s="197">
        <f t="shared" si="7"/>
        <v>0</v>
      </c>
      <c r="AD14" s="197">
        <f t="shared" si="7"/>
        <v>0</v>
      </c>
      <c r="AE14" s="197">
        <f t="shared" si="7"/>
        <v>0</v>
      </c>
      <c r="AF14" s="197">
        <f>SUBTOTAL(9,AF9:AF13)</f>
        <v>0</v>
      </c>
      <c r="AG14" s="197">
        <f t="shared" ref="AG14:AT14" si="8">SUBTOTAL(9,AG8:AG13)</f>
        <v>449</v>
      </c>
      <c r="AH14" s="197">
        <f t="shared" si="8"/>
        <v>206</v>
      </c>
      <c r="AI14" s="197">
        <f t="shared" si="8"/>
        <v>224</v>
      </c>
      <c r="AJ14" s="197">
        <f t="shared" si="8"/>
        <v>337</v>
      </c>
      <c r="AK14" s="197">
        <f t="shared" si="8"/>
        <v>0</v>
      </c>
      <c r="AL14" s="197">
        <f t="shared" si="8"/>
        <v>0</v>
      </c>
      <c r="AM14" s="197">
        <f t="shared" si="8"/>
        <v>0</v>
      </c>
      <c r="AN14" s="197">
        <f t="shared" si="8"/>
        <v>0</v>
      </c>
      <c r="AO14" s="197">
        <f t="shared" si="8"/>
        <v>8</v>
      </c>
      <c r="AP14" s="197">
        <f t="shared" si="8"/>
        <v>7</v>
      </c>
      <c r="AQ14" s="197">
        <f t="shared" si="8"/>
        <v>7</v>
      </c>
      <c r="AR14" s="197">
        <f t="shared" si="8"/>
        <v>7</v>
      </c>
      <c r="AS14" s="197">
        <f t="shared" si="8"/>
        <v>0</v>
      </c>
      <c r="AT14" s="197">
        <f t="shared" si="8"/>
        <v>0</v>
      </c>
      <c r="AU14" s="217"/>
      <c r="AV14" s="142"/>
      <c r="AW14" s="217"/>
      <c r="AX14" s="142"/>
      <c r="AY14" s="197">
        <f>SUBTOTAL(9,AY8:AY13)</f>
        <v>4109</v>
      </c>
      <c r="AZ14" s="197">
        <f>SUBTOTAL(9,AZ8:AZ13)</f>
        <v>1399</v>
      </c>
      <c r="BA14" s="197">
        <f>SUBTOTAL(9,BA8:BA13)</f>
        <v>1901</v>
      </c>
      <c r="BB14" s="197">
        <f>SUBTOTAL(9,BB8:BB13)</f>
        <v>3557</v>
      </c>
      <c r="BC14" s="197">
        <f>SUBTOTAL(9,BC8:BC13)</f>
        <v>469</v>
      </c>
      <c r="BD14" s="219">
        <f>IF(ISNUMBER(BA14/AZ14),BA14/AZ14," - ")</f>
        <v>1.3588277340957826</v>
      </c>
      <c r="BE14" s="220">
        <f>IF(ISNUMBER(BB14/BA14),BB14/BA14, " - ")</f>
        <v>1.8711204629142557</v>
      </c>
      <c r="BF14" s="220">
        <f>IF(ISNUMBER(BC14/BA14),BC14/BA14, " - ")</f>
        <v>0.24671225670699631</v>
      </c>
      <c r="BG14" s="221">
        <f>IF(ISNUMBER((AY14+AZ14)/BA14),(AY14+AZ14)/BA14," - ")</f>
        <v>2.8974224092582852</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2134</v>
      </c>
      <c r="J17" s="196">
        <v>1719</v>
      </c>
      <c r="K17" s="196">
        <v>1875</v>
      </c>
      <c r="L17" s="196">
        <v>1899</v>
      </c>
      <c r="M17" s="196">
        <v>169</v>
      </c>
      <c r="N17" s="196">
        <v>1335</v>
      </c>
      <c r="O17" s="194">
        <v>34</v>
      </c>
      <c r="P17" s="196">
        <v>59</v>
      </c>
      <c r="Q17" s="196">
        <v>67</v>
      </c>
      <c r="R17" s="196">
        <v>246</v>
      </c>
      <c r="S17" s="196">
        <v>1981</v>
      </c>
      <c r="T17" s="196">
        <v>1384</v>
      </c>
      <c r="U17" s="196">
        <v>1426</v>
      </c>
      <c r="V17" s="196">
        <v>1927</v>
      </c>
      <c r="W17" s="196">
        <v>159</v>
      </c>
      <c r="X17" s="202">
        <v>950</v>
      </c>
      <c r="Y17" s="215">
        <v>0</v>
      </c>
      <c r="Z17" s="196">
        <v>0</v>
      </c>
      <c r="AA17" s="196">
        <v>0</v>
      </c>
      <c r="AB17" s="196">
        <v>0</v>
      </c>
      <c r="AC17" s="196">
        <v>4</v>
      </c>
      <c r="AD17" s="196">
        <v>7</v>
      </c>
      <c r="AE17" s="196">
        <v>5</v>
      </c>
      <c r="AF17" s="202">
        <v>6</v>
      </c>
      <c r="AG17" s="215">
        <v>0</v>
      </c>
      <c r="AH17" s="196">
        <v>0</v>
      </c>
      <c r="AI17" s="196">
        <v>0</v>
      </c>
      <c r="AJ17" s="216">
        <v>0</v>
      </c>
      <c r="AK17" s="195">
        <v>4</v>
      </c>
      <c r="AL17" s="196">
        <v>10</v>
      </c>
      <c r="AM17" s="196">
        <v>11</v>
      </c>
      <c r="AN17" s="202">
        <v>3</v>
      </c>
      <c r="AO17" s="283">
        <v>7</v>
      </c>
      <c r="AP17" s="168">
        <v>7</v>
      </c>
      <c r="AQ17" s="168">
        <v>7</v>
      </c>
      <c r="AR17" s="168">
        <v>7</v>
      </c>
      <c r="AS17" s="381" t="s">
        <v>650</v>
      </c>
      <c r="AT17" s="216"/>
      <c r="AU17" s="215"/>
      <c r="AV17" s="216"/>
      <c r="AW17" s="215"/>
      <c r="AX17" s="216"/>
      <c r="AY17" s="136">
        <f t="shared" si="10"/>
        <v>1981</v>
      </c>
      <c r="AZ17" s="137">
        <f t="shared" si="10"/>
        <v>1384</v>
      </c>
      <c r="BA17" s="137">
        <f t="shared" si="10"/>
        <v>1426</v>
      </c>
      <c r="BB17" s="137">
        <f t="shared" si="10"/>
        <v>1927</v>
      </c>
      <c r="BC17" s="135">
        <f>IF(ISNUMBER(W17),W17," - ")</f>
        <v>159</v>
      </c>
      <c r="BD17" s="136">
        <f t="shared" ref="BD17:BD22" si="12">IF(ISNUMBER(BA17/AZ17),BA17/AZ17," - ")</f>
        <v>1.0303468208092486</v>
      </c>
      <c r="BE17" s="137">
        <f t="shared" ref="BE17:BE22" si="13">IF(ISNUMBER(BB17/BA17),BB17/BA17, " - ")</f>
        <v>1.3513323983169705</v>
      </c>
      <c r="BF17" s="137">
        <f t="shared" ref="BF17:BF22" si="14">IF(ISNUMBER(BC17/BA17),BC17/BA17, " - ")</f>
        <v>0.11150070126227209</v>
      </c>
      <c r="BG17" s="209">
        <f t="shared" si="11"/>
        <v>2.3597475455820476</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251</v>
      </c>
      <c r="J18" s="196">
        <v>133</v>
      </c>
      <c r="K18" s="196">
        <v>109</v>
      </c>
      <c r="L18" s="196">
        <v>275</v>
      </c>
      <c r="M18" s="196">
        <v>6</v>
      </c>
      <c r="N18" s="196">
        <v>51</v>
      </c>
      <c r="O18" s="196">
        <v>0</v>
      </c>
      <c r="P18" s="196">
        <v>0</v>
      </c>
      <c r="Q18" s="196">
        <v>0</v>
      </c>
      <c r="R18" s="196">
        <v>6</v>
      </c>
      <c r="S18" s="196">
        <v>225</v>
      </c>
      <c r="T18" s="196">
        <v>76</v>
      </c>
      <c r="U18" s="196">
        <v>73</v>
      </c>
      <c r="V18" s="196">
        <v>228</v>
      </c>
      <c r="W18" s="196">
        <v>7</v>
      </c>
      <c r="X18" s="202">
        <v>48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225</v>
      </c>
      <c r="AZ18" s="139">
        <f t="shared" si="15"/>
        <v>76</v>
      </c>
      <c r="BA18" s="139">
        <f t="shared" si="15"/>
        <v>73</v>
      </c>
      <c r="BB18" s="139">
        <f t="shared" si="15"/>
        <v>228</v>
      </c>
      <c r="BC18" s="135">
        <f>IF(ISNUMBER(W18),W18," - ")</f>
        <v>7</v>
      </c>
      <c r="BD18" s="136">
        <f>IF(ISNUMBER(BA18/AZ18),BA18/AZ18," - ")</f>
        <v>0.96052631578947367</v>
      </c>
      <c r="BE18" s="137">
        <f>IF(ISNUMBER(BB18/BA18),BB18/BA18, " - ")</f>
        <v>3.1232876712328768</v>
      </c>
      <c r="BF18" s="137">
        <f>IF(ISNUMBER(BC18/BA18),BC18/BA18, " - ")</f>
        <v>9.5890410958904104E-2</v>
      </c>
      <c r="BG18" s="209">
        <f>IF(ISNUMBER((AY18+AZ18)/BA18),(AY18+AZ18)/BA18," - ")</f>
        <v>4.1232876712328768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2385</v>
      </c>
      <c r="J23" s="197">
        <f t="shared" si="21"/>
        <v>1852</v>
      </c>
      <c r="K23" s="197">
        <f t="shared" si="21"/>
        <v>1984</v>
      </c>
      <c r="L23" s="197">
        <f t="shared" si="21"/>
        <v>2174</v>
      </c>
      <c r="M23" s="197">
        <f t="shared" si="21"/>
        <v>175</v>
      </c>
      <c r="N23" s="197">
        <f t="shared" si="21"/>
        <v>1386</v>
      </c>
      <c r="O23" s="197">
        <f t="shared" si="21"/>
        <v>34</v>
      </c>
      <c r="P23" s="197">
        <f t="shared" si="21"/>
        <v>59</v>
      </c>
      <c r="Q23" s="197">
        <f t="shared" si="21"/>
        <v>67</v>
      </c>
      <c r="R23" s="197">
        <f t="shared" si="21"/>
        <v>252</v>
      </c>
      <c r="S23" s="197">
        <f t="shared" si="21"/>
        <v>2206</v>
      </c>
      <c r="T23" s="197">
        <f t="shared" si="21"/>
        <v>1460</v>
      </c>
      <c r="U23" s="197">
        <f t="shared" si="21"/>
        <v>1499</v>
      </c>
      <c r="V23" s="197">
        <f t="shared" si="21"/>
        <v>2155</v>
      </c>
      <c r="W23" s="197">
        <f t="shared" si="21"/>
        <v>166</v>
      </c>
      <c r="X23" s="197">
        <f t="shared" si="21"/>
        <v>998</v>
      </c>
      <c r="Y23" s="197">
        <f t="shared" si="21"/>
        <v>0</v>
      </c>
      <c r="Z23" s="197">
        <f t="shared" si="21"/>
        <v>0</v>
      </c>
      <c r="AA23" s="197">
        <f t="shared" si="21"/>
        <v>0</v>
      </c>
      <c r="AB23" s="197">
        <f t="shared" si="21"/>
        <v>0</v>
      </c>
      <c r="AC23" s="197">
        <f t="shared" si="21"/>
        <v>4</v>
      </c>
      <c r="AD23" s="197">
        <f t="shared" si="21"/>
        <v>7</v>
      </c>
      <c r="AE23" s="197">
        <f t="shared" si="21"/>
        <v>5</v>
      </c>
      <c r="AF23" s="197">
        <f t="shared" si="21"/>
        <v>6</v>
      </c>
      <c r="AG23" s="197">
        <f t="shared" si="21"/>
        <v>0</v>
      </c>
      <c r="AH23" s="197">
        <f t="shared" si="21"/>
        <v>0</v>
      </c>
      <c r="AI23" s="197">
        <f t="shared" si="21"/>
        <v>0</v>
      </c>
      <c r="AJ23" s="197">
        <f t="shared" si="21"/>
        <v>0</v>
      </c>
      <c r="AK23" s="197">
        <f t="shared" si="21"/>
        <v>4</v>
      </c>
      <c r="AL23" s="197">
        <f t="shared" si="21"/>
        <v>10</v>
      </c>
      <c r="AM23" s="197">
        <f t="shared" si="21"/>
        <v>11</v>
      </c>
      <c r="AN23" s="197">
        <f t="shared" si="21"/>
        <v>3</v>
      </c>
      <c r="AO23" s="197">
        <f t="shared" si="21"/>
        <v>8</v>
      </c>
      <c r="AP23" s="197">
        <f t="shared" si="21"/>
        <v>7</v>
      </c>
      <c r="AQ23" s="197">
        <f t="shared" si="21"/>
        <v>7</v>
      </c>
      <c r="AR23" s="197">
        <f t="shared" si="21"/>
        <v>7</v>
      </c>
      <c r="AS23" s="197">
        <f t="shared" si="21"/>
        <v>0</v>
      </c>
      <c r="AT23" s="197">
        <f t="shared" si="21"/>
        <v>0</v>
      </c>
      <c r="AU23" s="217"/>
      <c r="AV23" s="142"/>
      <c r="AW23" s="217"/>
      <c r="AX23" s="142"/>
      <c r="AY23" s="197">
        <f>SUBTOTAL(9,AY15:AY22)</f>
        <v>2206</v>
      </c>
      <c r="AZ23" s="197">
        <f>SUBTOTAL(9,AZ15:AZ22)</f>
        <v>1460</v>
      </c>
      <c r="BA23" s="197">
        <f>SUBTOTAL(9,BA15:BA22)</f>
        <v>1499</v>
      </c>
      <c r="BB23" s="197">
        <f>SUBTOTAL(9,BB15:BB22)</f>
        <v>2155</v>
      </c>
      <c r="BC23" s="197">
        <f>SUBTOTAL(9,BC15:BC22)</f>
        <v>166</v>
      </c>
      <c r="BD23" s="219">
        <f>IF(ISNUMBER(BA23/AZ23),BA23/AZ23," - ")</f>
        <v>1.0267123287671234</v>
      </c>
      <c r="BE23" s="220">
        <f>IF(ISNUMBER(BB23/BA23),BB23/BA23, " - ")</f>
        <v>1.4376250833889259</v>
      </c>
      <c r="BF23" s="220">
        <f>IF(ISNUMBER(BC23/BA23),BC23/BA23, " - ")</f>
        <v>0.11074049366244162</v>
      </c>
      <c r="BG23" s="221">
        <f>IF(ISNUMBER((AY23+AZ23)/BA23),(AY23+AZ23)/BA23," - ")</f>
        <v>2.4456304202801866</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4992</v>
      </c>
      <c r="J31" s="144">
        <f t="shared" si="36"/>
        <v>3141</v>
      </c>
      <c r="K31" s="144">
        <f t="shared" si="36"/>
        <v>3337</v>
      </c>
      <c r="L31" s="144">
        <f t="shared" si="36"/>
        <v>4784</v>
      </c>
      <c r="M31" s="144">
        <f t="shared" si="36"/>
        <v>735</v>
      </c>
      <c r="N31" s="144">
        <f t="shared" si="36"/>
        <v>1803</v>
      </c>
      <c r="O31" s="144">
        <f t="shared" si="36"/>
        <v>726</v>
      </c>
      <c r="P31" s="144">
        <f t="shared" si="36"/>
        <v>408</v>
      </c>
      <c r="Q31" s="144">
        <f t="shared" si="36"/>
        <v>432</v>
      </c>
      <c r="R31" s="144">
        <f t="shared" si="36"/>
        <v>6091</v>
      </c>
      <c r="S31" s="144">
        <f t="shared" si="36"/>
        <v>5866</v>
      </c>
      <c r="T31" s="144">
        <f t="shared" si="36"/>
        <v>2653</v>
      </c>
      <c r="U31" s="144">
        <f t="shared" si="36"/>
        <v>3176</v>
      </c>
      <c r="V31" s="144">
        <f t="shared" si="36"/>
        <v>5375</v>
      </c>
      <c r="W31" s="144">
        <f t="shared" si="36"/>
        <v>927</v>
      </c>
      <c r="X31" s="144">
        <f t="shared" si="36"/>
        <v>1464</v>
      </c>
      <c r="Y31" s="144">
        <f t="shared" si="36"/>
        <v>254</v>
      </c>
      <c r="Z31" s="144">
        <f t="shared" si="36"/>
        <v>153</v>
      </c>
      <c r="AA31" s="144">
        <f t="shared" si="36"/>
        <v>175</v>
      </c>
      <c r="AB31" s="144">
        <f t="shared" si="36"/>
        <v>189</v>
      </c>
      <c r="AC31" s="144">
        <f t="shared" si="36"/>
        <v>4</v>
      </c>
      <c r="AD31" s="144">
        <f t="shared" si="36"/>
        <v>7</v>
      </c>
      <c r="AE31" s="144">
        <f t="shared" si="36"/>
        <v>5</v>
      </c>
      <c r="AF31" s="144">
        <f t="shared" si="36"/>
        <v>6</v>
      </c>
      <c r="AG31" s="144">
        <f t="shared" si="36"/>
        <v>449</v>
      </c>
      <c r="AH31" s="144">
        <f t="shared" si="36"/>
        <v>206</v>
      </c>
      <c r="AI31" s="144">
        <f t="shared" si="36"/>
        <v>224</v>
      </c>
      <c r="AJ31" s="144">
        <f t="shared" si="36"/>
        <v>337</v>
      </c>
      <c r="AK31" s="144">
        <f t="shared" si="36"/>
        <v>4</v>
      </c>
      <c r="AL31" s="144">
        <f t="shared" si="36"/>
        <v>10</v>
      </c>
      <c r="AM31" s="144">
        <f t="shared" si="36"/>
        <v>11</v>
      </c>
      <c r="AN31" s="224">
        <f t="shared" si="36"/>
        <v>3</v>
      </c>
      <c r="AO31" s="225">
        <v>8</v>
      </c>
      <c r="AP31" s="225">
        <v>7</v>
      </c>
      <c r="AQ31" s="225">
        <v>7</v>
      </c>
      <c r="AR31" s="225">
        <v>7</v>
      </c>
      <c r="AS31" s="166">
        <f t="shared" si="36"/>
        <v>0</v>
      </c>
      <c r="AT31" s="166">
        <f t="shared" si="36"/>
        <v>0</v>
      </c>
      <c r="AU31" s="225"/>
      <c r="AV31" s="226"/>
      <c r="AW31" s="225"/>
      <c r="AX31" s="226"/>
      <c r="AY31" s="143">
        <f>SUBTOTAL(9,AY9:AY30)</f>
        <v>6315</v>
      </c>
      <c r="AZ31" s="144">
        <f>SUBTOTAL(9,AZ9:AZ30)</f>
        <v>2859</v>
      </c>
      <c r="BA31" s="144">
        <f>SUBTOTAL(9,BA9:BA30)</f>
        <v>3400</v>
      </c>
      <c r="BB31" s="144">
        <f>SUBTOTAL(9,BB9:BB30)</f>
        <v>5712</v>
      </c>
      <c r="BC31" s="145">
        <f>SUBTOTAL(9,BC9:BC30)</f>
        <v>635</v>
      </c>
      <c r="BD31" s="227">
        <f>IF(ISNUMBER(BA31/AZ31),BA31/AZ31," - ")</f>
        <v>1.1892270024484086</v>
      </c>
      <c r="BE31" s="224">
        <f>IF(ISNUMBER(BB31/BA31),BB31/BA31, " - ")</f>
        <v>1.68</v>
      </c>
      <c r="BF31" s="224">
        <f>IF(ISNUMBER(BC31/BA31),BC31/BA31, " - ")</f>
        <v>0.18676470588235294</v>
      </c>
      <c r="BG31" s="145">
        <f>IF(ISNUMBER((AY31+AZ31)/BA31),(AY31+AZ31)/BA31," - ")</f>
        <v>2.6982352941176471</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SCtkKrQ/hPX/N7wbcbUrhnk7+pbpyMYkkMATVq11antDioY4aS20ky3iPnO36bzVsNvzUlfRnMOCMmDwx7w3Q==" saltValue="IpmIJLrM4hpndLNeHWFY2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yA9u5HLj7aDqKgo1xwhKzsvs81RmLVDXh45qaDpQ0UxUCFrz81edRPvJKS3LVNBsKe06WU4iR8Mh3Nv8hzbyg==" saltValue="EPjSiMm6Gl7eQi1eCMf+Z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PALENCIA  Resumenes por Partidos Judiciales  PALENCIA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57</v>
      </c>
      <c r="G10" s="543">
        <f>IF(ISNUMBER(Datos!I10),Datos!I10," - ")</f>
        <v>57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19</v>
      </c>
      <c r="AC10" s="547">
        <f>IF(ISNUMBER(Datos!Q10),Datos!Q10," - ")</f>
        <v>0</v>
      </c>
      <c r="AD10" s="549"/>
      <c r="AE10" s="563"/>
      <c r="AF10" s="551">
        <f>IF(ISNUMBER(Datos!L10),Datos!L10,"-")</f>
        <v>46</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14</v>
      </c>
      <c r="BD10" s="693">
        <f>IF(ISNUMBER(Datos!N10),Datos!N10," - ")</f>
        <v>4</v>
      </c>
      <c r="BE10" s="693" t="str">
        <f>IF(ISNUMBER(Datos!BW10),Datos!BW10," - ")</f>
        <v xml:space="preserve"> - </v>
      </c>
      <c r="BF10" s="762" t="str">
        <f>IF(ISNUMBER(Datos!BX10),Datos!BX10," - ")</f>
        <v xml:space="preserve"> - </v>
      </c>
      <c r="BG10" s="763">
        <f>IF(ISNUMBER(Datos!K10/Datos!J10),Datos!K10/Datos!J10," - ")</f>
        <v>2.375</v>
      </c>
      <c r="BH10" s="764">
        <f>IF(ISNUMBER(((Datos!L10/Datos!K10)*11)/factor_trimestre),((Datos!L10/Datos!K10)*11)/factor_trimestre," - ")</f>
        <v>7.2631578947368425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153</v>
      </c>
      <c r="O12" s="549"/>
      <c r="P12" s="549"/>
      <c r="Q12" s="547">
        <f>IF(ISNUMBER(Datos!P12),Datos!P12,0)</f>
        <v>349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365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189</v>
      </c>
      <c r="AI12" s="549" t="str">
        <f>IF(ISNUMBER(Datos!CD12),Datos!CD12,"-")</f>
        <v>-</v>
      </c>
      <c r="AJ12" s="549" t="str">
        <f>IF(ISNUMBER(Datos!EN12),Datos!EN12," - ")</f>
        <v xml:space="preserve"> - </v>
      </c>
      <c r="AK12" s="549"/>
      <c r="AL12" s="550"/>
      <c r="AM12" s="766">
        <f>IF(ISNUMBER(Datos!R12),Datos!R12," - ")</f>
        <v>5839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546</v>
      </c>
      <c r="BD12" s="693">
        <f>IF(ISNUMBER(Datos!N12),Datos!N12," - ")</f>
        <v>413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1.0523012552301256</v>
      </c>
      <c r="BH12" s="764">
        <f>IF(ISNUMBER(((IF(J_V="SI",Datos!L12/Datos!K12,(Datos!L12+Datos!AB12)/(Datos!K12+Datos!AA12)))*11)/factor_trimestre),((IF(J_V="SI",Datos!L12/Datos!K12,(Datos!L12+Datos!AB12)/(Datos!K12+Datos!AA12)))*11)/factor_trimestre," - ")</f>
        <v>5.4731610337972167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-2.7327070879590095E-3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57</v>
      </c>
      <c r="G14" s="1197">
        <f t="shared" si="1"/>
        <v>57</v>
      </c>
      <c r="H14" s="1198">
        <f t="shared" si="1"/>
        <v>0</v>
      </c>
      <c r="I14" s="1197">
        <f t="shared" si="1"/>
        <v>0</v>
      </c>
      <c r="J14" s="1164">
        <f t="shared" si="1"/>
        <v>0</v>
      </c>
      <c r="K14" s="1164">
        <f t="shared" si="1"/>
        <v>0</v>
      </c>
      <c r="L14" s="1198">
        <f t="shared" si="1"/>
        <v>0</v>
      </c>
      <c r="M14" s="1198">
        <f t="shared" si="1"/>
        <v>0</v>
      </c>
      <c r="N14" s="1198">
        <f t="shared" si="1"/>
        <v>153</v>
      </c>
      <c r="O14" s="1199">
        <f t="shared" si="1"/>
        <v>0</v>
      </c>
      <c r="P14" s="1199">
        <f t="shared" si="1"/>
        <v>0</v>
      </c>
      <c r="Q14" s="1198">
        <f t="shared" si="1"/>
        <v>349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19</v>
      </c>
      <c r="AC14" s="1198">
        <f t="shared" si="2"/>
        <v>365</v>
      </c>
      <c r="AD14" s="1198">
        <f t="shared" si="2"/>
        <v>0</v>
      </c>
      <c r="AE14" s="1198">
        <f t="shared" si="2"/>
        <v>0</v>
      </c>
      <c r="AF14" s="1198">
        <f t="shared" si="2"/>
        <v>46</v>
      </c>
      <c r="AG14" s="1198">
        <f t="shared" si="2"/>
        <v>0</v>
      </c>
      <c r="AH14" s="1198">
        <f t="shared" si="2"/>
        <v>189</v>
      </c>
      <c r="AI14" s="1198">
        <f t="shared" si="2"/>
        <v>0</v>
      </c>
      <c r="AJ14" s="1198">
        <f t="shared" si="2"/>
        <v>0</v>
      </c>
      <c r="AK14" s="1198">
        <f t="shared" si="2"/>
        <v>0</v>
      </c>
      <c r="AL14" s="1198">
        <f t="shared" si="2"/>
        <v>0</v>
      </c>
      <c r="AM14" s="1198">
        <f t="shared" si="2"/>
        <v>5839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560</v>
      </c>
      <c r="BD14" s="1198">
        <f t="shared" si="2"/>
        <v>417</v>
      </c>
      <c r="BE14" s="1198">
        <f t="shared" si="2"/>
        <v>0</v>
      </c>
      <c r="BF14" s="1198">
        <f t="shared" si="2"/>
        <v>0</v>
      </c>
      <c r="BG14" s="1198">
        <f>IF(ISNUMBER(Datos!K14/Datos!J14),Datos!K14/Datos!J14," - ")</f>
        <v>1.0496508921644685</v>
      </c>
      <c r="BH14" s="1202">
        <f>IF(ISNUMBER(((Datos!L14/Datos!K14)*11)/factor_trimestre),((Datos!L14/Datos!K14)*11)/factor_trimestre," - ")</f>
        <v>5.7871396895787139</v>
      </c>
      <c r="BI14" s="1198">
        <f>IF(ISNUMBER('Resol  Asuntos'!D14/NºAsuntos!G14),'Resol  Asuntos'!D14/NºAsuntos!G14," - ")</f>
        <v>0.36649214659685864</v>
      </c>
      <c r="BJ14" s="1198" t="str">
        <f>IF(ISNUMBER(Datos!CI14/Datos!CJ14),Datos!CI14/Datos!CJ14," - ")</f>
        <v xml:space="preserve"> - </v>
      </c>
      <c r="BK14" s="1198">
        <f>SUBTOTAL(9,BK8:BK13)</f>
        <v>0</v>
      </c>
      <c r="BL14" s="1198">
        <f>IF(ISNUMBER((I14-AB14+L14)/(F14)),(I14-AB14+L14)/(F14)," - ")</f>
        <v>-0.33333333333333331</v>
      </c>
      <c r="BM14" s="1203">
        <f>SUBTOTAL(9,BM9:BM13)</f>
        <v>-2.7327070879590095E-3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2055</v>
      </c>
      <c r="G17" s="743">
        <f>IF(ISNUMBER(IF(D_I="SI",Datos!I17,Datos!I17+Datos!AC17)),IF(D_I="SI",Datos!I17,Datos!I17+Datos!AC17)," - ")</f>
        <v>2134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1875</v>
      </c>
      <c r="AC17" s="240">
        <f>IF(ISNUMBER(Datos!Q17),Datos!Q17," - ")</f>
        <v>67</v>
      </c>
      <c r="AD17" s="374"/>
      <c r="AE17" s="562"/>
      <c r="AF17" s="741">
        <f>IF(ISNUMBER(IF(D_I="SI",Datos!L17,Datos!L17+Datos!AF17)),IF(D_I="SI",Datos!L17,Datos!L17+Datos!AF17)," - ")</f>
        <v>1899</v>
      </c>
      <c r="AG17" s="374"/>
      <c r="AH17" s="374"/>
      <c r="AI17" s="374"/>
      <c r="AJ17" s="549"/>
      <c r="AK17" s="374"/>
      <c r="AL17" s="545"/>
      <c r="AM17" s="375">
        <f>IF(ISNUMBER(Datos!R17),Datos!R17," - ")</f>
        <v>246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169</v>
      </c>
      <c r="BD17" s="243">
        <f>IF(ISNUMBER(Datos!N17),Datos!N17," - ")</f>
        <v>1335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1.0907504363001745</v>
      </c>
      <c r="BH17" s="764">
        <f>IF(ISNUMBER(((IF(D_I="SI",Datos!L17/Datos!K17,(Datos!L17+Datos!AF17)/(Datos!K17+Datos!AE17)))*11)/factor_trimestre),((IF(D_I="SI",Datos!L17/Datos!K17,(Datos!L17+Datos!AF17)/(Datos!K17+Datos!AE17)))*11)/factor_trimestre," - ")</f>
        <v>3.0383999999999998</v>
      </c>
      <c r="BI17" s="266">
        <f>IF(ISNUMBER('Resol  Asuntos'!D17/NºAsuntos!G17),'Resol  Asuntos'!D17/NºAsuntos!G17," - ")</f>
        <v>9.0133333333333329E-2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251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109</v>
      </c>
      <c r="AC18" s="547">
        <f>IF(ISNUMBER(Datos!Q18),Datos!Q18," - ")</f>
        <v>0</v>
      </c>
      <c r="AD18" s="549"/>
      <c r="AE18" s="562"/>
      <c r="AF18" s="551">
        <f>IF(ISNUMBER(Datos!L18),Datos!L18,"-")</f>
        <v>275</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51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0.81954887218045114</v>
      </c>
      <c r="BH18" s="764">
        <f>IF(ISNUMBER(((IF(D_I="SI",Datos!L18/Datos!K18,(Datos!L18+Datos!AF18)/(Datos!K18+Datos!AE18)))*11)/factor_trimestre),((IF(D_I="SI",Datos!L18/Datos!K18,(Datos!L18+Datos!AF18)/(Datos!K18+Datos!AE18)))*11)/factor_trimestre," - ")</f>
        <v>7.5688073394495419</v>
      </c>
      <c r="BI18" s="763">
        <f>IF(ISNUMBER('Resol  Asuntos'!D18/NºAsuntos!G18),'Resol  Asuntos'!D18/NºAsuntos!G18," - ")</f>
        <v>5.5045871559633031E-2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7</v>
      </c>
      <c r="F23" s="1197">
        <f>SUBTOTAL(9,F16:F22)</f>
        <v>2055</v>
      </c>
      <c r="G23" s="1197">
        <f>SUBTOTAL(9,G16:G22)</f>
        <v>2385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1984</v>
      </c>
      <c r="AC23" s="1198">
        <f t="shared" si="5"/>
        <v>67</v>
      </c>
      <c r="AD23" s="1198">
        <f t="shared" si="5"/>
        <v>0</v>
      </c>
      <c r="AE23" s="1198">
        <f t="shared" si="5"/>
        <v>0</v>
      </c>
      <c r="AF23" s="1198">
        <f t="shared" si="5"/>
        <v>2174</v>
      </c>
      <c r="AG23" s="1198">
        <f t="shared" si="5"/>
        <v>0</v>
      </c>
      <c r="AH23" s="1198">
        <f t="shared" si="5"/>
        <v>0</v>
      </c>
      <c r="AI23" s="1198">
        <f t="shared" si="5"/>
        <v>0</v>
      </c>
      <c r="AJ23" s="1198">
        <f t="shared" si="5"/>
        <v>0</v>
      </c>
      <c r="AK23" s="1198">
        <f t="shared" si="5"/>
        <v>0</v>
      </c>
      <c r="AL23" s="1198">
        <f t="shared" si="5"/>
        <v>0</v>
      </c>
      <c r="AM23" s="1198">
        <f t="shared" si="5"/>
        <v>252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175</v>
      </c>
      <c r="BD23" s="1198">
        <f t="shared" si="5"/>
        <v>1386</v>
      </c>
      <c r="BE23" s="1198">
        <f t="shared" si="5"/>
        <v>0</v>
      </c>
      <c r="BF23" s="1198">
        <f t="shared" si="5"/>
        <v>0</v>
      </c>
      <c r="BG23" s="1198">
        <f>IF(ISNUMBER(Datos!K23/Datos!J23),Datos!K23/Datos!J23," - ")</f>
        <v>1.0712742980561556</v>
      </c>
      <c r="BH23" s="1202">
        <f>IF(ISNUMBER(((Datos!L23/Datos!K23)*11)/factor_trimestre),((Datos!L23/Datos!K23)*11)/factor_trimestre," - ")</f>
        <v>3.287298387096774</v>
      </c>
      <c r="BI23" s="1198">
        <f>SUBTOTAL(9,BI16:BI22)</f>
        <v>0.14517920489296637</v>
      </c>
      <c r="BJ23" s="1198">
        <f>SUBTOTAL(9,BJ16:BJ22)</f>
        <v>0</v>
      </c>
      <c r="BK23" s="1198">
        <f>SUBTOTAL(9,BK16:BK22)</f>
        <v>0</v>
      </c>
      <c r="BL23" s="1198">
        <f>IF(ISNUMBER((I23-AB23+L23)/(F23)),(I23-AB23+L23)/(F23)," - ")</f>
        <v>-0.96545012165450117</v>
      </c>
      <c r="BM23" s="1205">
        <f>IF(ISNUMBER((Datos!P23-Datos!Q23)/(Datos!R23-Datos!P23+Datos!Q23)),(Datos!P23-Datos!Q23)/(Datos!R23-Datos!P23+Datos!Q23)," - ")</f>
        <v>-3.0769230769230771E-2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14</v>
      </c>
      <c r="F31" s="1117">
        <f t="shared" si="18"/>
        <v>2112</v>
      </c>
      <c r="G31" s="1117">
        <f t="shared" si="18"/>
        <v>2442</v>
      </c>
      <c r="H31" s="1119">
        <f t="shared" si="18"/>
        <v>0</v>
      </c>
      <c r="I31" s="1117">
        <f t="shared" si="18"/>
        <v>0</v>
      </c>
      <c r="J31" s="1119">
        <f t="shared" si="18"/>
        <v>0</v>
      </c>
      <c r="K31" s="1119">
        <f t="shared" si="18"/>
        <v>0</v>
      </c>
      <c r="L31" s="1180">
        <f t="shared" si="18"/>
        <v>0</v>
      </c>
      <c r="M31" s="1180">
        <f t="shared" si="18"/>
        <v>0</v>
      </c>
      <c r="N31" s="1180">
        <f t="shared" si="18"/>
        <v>153</v>
      </c>
      <c r="O31" s="1180">
        <f t="shared" si="18"/>
        <v>0</v>
      </c>
      <c r="P31" s="1180">
        <f t="shared" si="18"/>
        <v>0</v>
      </c>
      <c r="Q31" s="1119">
        <f t="shared" si="18"/>
        <v>408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2003</v>
      </c>
      <c r="AC31" s="1118">
        <f t="shared" si="19"/>
        <v>432</v>
      </c>
      <c r="AD31" s="1118">
        <f t="shared" si="19"/>
        <v>0</v>
      </c>
      <c r="AE31" s="1118">
        <f t="shared" si="19"/>
        <v>0</v>
      </c>
      <c r="AF31" s="1125">
        <f t="shared" si="19"/>
        <v>2220</v>
      </c>
      <c r="AG31" s="1125">
        <f t="shared" si="19"/>
        <v>0</v>
      </c>
      <c r="AH31" s="1125">
        <f t="shared" si="19"/>
        <v>189</v>
      </c>
      <c r="AI31" s="1125">
        <f t="shared" si="19"/>
        <v>0</v>
      </c>
      <c r="AJ31" s="1118">
        <f t="shared" si="19"/>
        <v>0</v>
      </c>
      <c r="AK31" s="1125">
        <f t="shared" si="19"/>
        <v>0</v>
      </c>
      <c r="AL31" s="1125">
        <f t="shared" si="19"/>
        <v>0</v>
      </c>
      <c r="AM31" s="1125">
        <f t="shared" si="19"/>
        <v>6091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735</v>
      </c>
      <c r="BD31" s="1117">
        <f t="shared" si="19"/>
        <v>1803</v>
      </c>
      <c r="BE31" s="1117">
        <f t="shared" si="19"/>
        <v>0</v>
      </c>
      <c r="BF31" s="1127">
        <f t="shared" si="19"/>
        <v>0</v>
      </c>
      <c r="BG31" s="1223">
        <f>IF(ISNUMBER(Datos!K31/Datos!J31),Datos!K31/Datos!J31," - ")</f>
        <v>1.0624005093919133</v>
      </c>
      <c r="BH31" s="1223">
        <f>IF(ISNUMBER(((Datos!L31/Datos!K31)*11)/factor_trimestre),((Datos!L31/Datos!K31)*11)/factor_trimestre," - ")</f>
        <v>4.3008690440515434</v>
      </c>
      <c r="BI31" s="1103">
        <f>IF(ISNUMBER(Datos!J31/Datos!I31),Datos!J31/Datos!I31," - ")</f>
        <v>0.62920673076923073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-0.94839015151515149</v>
      </c>
      <c r="BM31" s="1188">
        <f>IF(ISNUMBER((Datos!P31-Datos!Q31+R31)/(Datos!R31-Datos!P31+Datos!Q31-R31)),(Datos!P31-Datos!Q31+R31)/(Datos!R31-Datos!P31+Datos!Q31-R31)," - ")</f>
        <v>-3.9247751430907607E-3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697.71428571428567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2.9319773580418684</v>
      </c>
      <c r="F33" s="673">
        <f>IF(ISNUMBER(STDEV(F8:F30)),STDEV(F8:F30),"-")</f>
        <v>1046.7905234572961</v>
      </c>
      <c r="G33" s="674">
        <f>IF(ISNUMBER(STDEV(G8:G30)),STDEV(G8:G30),"-")</f>
        <v>1072.6946931731809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928.43124216528361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239.35075875017759</v>
      </c>
      <c r="BD33" s="673"/>
      <c r="BE33" s="673">
        <f>IF(ISNUMBER(STDEV(BE8:BE30)),STDEV(BE8:BE30),"-")</f>
        <v>0</v>
      </c>
      <c r="BF33" s="678">
        <f>IF(ISNUMBER(STDEV(BF8:BF30)),STDEV(BF8:BF30),"-")</f>
        <v>0</v>
      </c>
      <c r="BG33" s="1052">
        <f>IF(ISNUMBER(STDEV(BG8:BG30)),STDEV(BG8:BG30),"-")</f>
        <v>0.56341003659761202</v>
      </c>
      <c r="BH33" s="1058">
        <f>IF(ISNUMBER(STDEV(BH8:BH30)),STDEV(BH8:BH30),"-")</f>
        <v>1.9168161712260166</v>
      </c>
      <c r="BI33" s="273">
        <f>IF(ISNUMBER(STDEV(BI8:BI30)),STDEV(BI8:BI30),"-")</f>
        <v>0.13986231020658493</v>
      </c>
      <c r="BJ33" s="244" t="str">
        <f>IF(ISNUMBER(BL33/BM33),BL33/BM33," - ")</f>
        <v xml:space="preserve"> - </v>
      </c>
      <c r="BK33" s="709"/>
      <c r="BL33" s="681">
        <f>IF(ISNUMBER(STDEV(BL8:BL30)),STDEV(BL8:BL30),"-")</f>
        <v>0.44697406752375912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z9MS4weqLwE+A0vvDrfnUeIS8xFDdTO193fg7Bq7oRzlQkvCLLQxlt3mS1iyKiFJhIVPMs+4MjsIg1by+8QeFQ==" saltValue="opn0Yg2jwaFXeCA+BS5Bk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PALENCIA  Resumenes por Partidos Judiciales  PALENCIA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57</v>
      </c>
      <c r="G10" s="552">
        <f>IF(ISNUMBER(Datos!I10),Datos!I10," - ")</f>
        <v>57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19</v>
      </c>
      <c r="Z10" s="805">
        <f>IF(ISNUMBER(Datos!Q10),Datos!Q10," - ")</f>
        <v>0</v>
      </c>
      <c r="AA10" s="551">
        <f>IF(ISNUMBER(Datos!L10),Datos!L10,"-")</f>
        <v>46</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14</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7.2631578947368425</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349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365</v>
      </c>
      <c r="AA12" s="551" t="str">
        <f>IF(ISNUMBER(IF(J_V="SI",Datos!L12,Datos!L12+Datos!AB12)-IF(Monitorios="SI",Datos!CD12,0)),
                          IF(J_V="SI",Datos!L12,Datos!L12+Datos!AB12)-IF(Monitorios="SI",Datos!CD12,0),
                          " - ")</f>
        <v xml:space="preserve"> - </v>
      </c>
      <c r="AB12" s="549"/>
      <c r="AC12" s="549"/>
      <c r="AD12" s="563"/>
      <c r="AE12" s="563">
        <f>IF(ISNUMBER(Datos!R12),Datos!R12," - ")</f>
        <v>5839</v>
      </c>
      <c r="AF12" s="693" t="str">
        <f>IF(ISNUMBER(Datos!BV12),Datos!BV12," - ")</f>
        <v xml:space="preserve"> - </v>
      </c>
      <c r="AG12" s="552" t="str">
        <f>IF(ISNUMBER(Datos!DV12),Datos!DV12," - ")</f>
        <v xml:space="preserve"> - </v>
      </c>
      <c r="AH12" s="553"/>
      <c r="AI12" s="554"/>
      <c r="AJ12" s="552">
        <f>IF(ISNUMBER(Datos!M12),Datos!M12," - ")</f>
        <v>546</v>
      </c>
      <c r="AK12" s="693">
        <f>IF(ISNUMBER(Datos!N12),Datos!N12," - ")</f>
        <v>413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5.4731610337972167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-2.7327070879590095E-3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57</v>
      </c>
      <c r="G14" s="1197">
        <f>SUBTOTAL(9,G8:G13)</f>
        <v>57</v>
      </c>
      <c r="H14" s="1211"/>
      <c r="I14" s="1197">
        <f t="shared" ref="I14:N14" si="1">SUBTOTAL(9,I8:I13)</f>
        <v>0</v>
      </c>
      <c r="J14" s="1164">
        <f t="shared" si="1"/>
        <v>0</v>
      </c>
      <c r="K14" s="1211">
        <f t="shared" si="1"/>
        <v>0</v>
      </c>
      <c r="L14" s="1211">
        <f t="shared" si="1"/>
        <v>0</v>
      </c>
      <c r="M14" s="1211">
        <f t="shared" si="1"/>
        <v>0</v>
      </c>
      <c r="N14" s="1211">
        <f t="shared" si="1"/>
        <v>349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19</v>
      </c>
      <c r="Z14" s="1210">
        <f t="shared" si="3"/>
        <v>365</v>
      </c>
      <c r="AA14" s="1199">
        <f t="shared" si="3"/>
        <v>46</v>
      </c>
      <c r="AB14" s="1199">
        <f t="shared" si="3"/>
        <v>0</v>
      </c>
      <c r="AC14" s="1199">
        <f t="shared" si="3"/>
        <v>0</v>
      </c>
      <c r="AD14" s="1199">
        <f t="shared" si="3"/>
        <v>0</v>
      </c>
      <c r="AE14" s="1199">
        <f t="shared" si="3"/>
        <v>5839</v>
      </c>
      <c r="AF14" s="1211">
        <f t="shared" si="3"/>
        <v>0</v>
      </c>
      <c r="AG14" s="1211">
        <f t="shared" si="3"/>
        <v>0</v>
      </c>
      <c r="AH14" s="1211">
        <f t="shared" si="3"/>
        <v>0</v>
      </c>
      <c r="AI14" s="1211">
        <f t="shared" si="3"/>
        <v>0</v>
      </c>
      <c r="AJ14" s="1211">
        <f t="shared" si="3"/>
        <v>560</v>
      </c>
      <c r="AK14" s="1211">
        <f t="shared" si="3"/>
        <v>417</v>
      </c>
      <c r="AL14" s="1211">
        <f t="shared" si="3"/>
        <v>0</v>
      </c>
      <c r="AM14" s="1211">
        <f t="shared" si="3"/>
        <v>0</v>
      </c>
      <c r="AN14" s="1211">
        <f t="shared" si="3"/>
        <v>0</v>
      </c>
      <c r="AO14" s="1203">
        <f>IF(ISNUMBER(((NºAsuntos!I14/NºAsuntos!G14)*11)/factor_trimestre),((NºAsuntos!I14/NºAsuntos!G14)*11)/factor_trimestre," - ")</f>
        <v>5.4954188481675397</v>
      </c>
      <c r="AP14" s="1213" t="str">
        <f>IF(ISNUMBER(Datos!CI14/Datos!CJ14),Datos!CI14/Datos!CJ14," - ")</f>
        <v xml:space="preserve"> - </v>
      </c>
      <c r="AQ14" s="1236">
        <f t="shared" ref="AQ14:AV14" si="4">SUBTOTAL(9,AQ9:AQ13)</f>
        <v>0</v>
      </c>
      <c r="AR14" s="1236">
        <f t="shared" si="4"/>
        <v>-2.7327070879590095E-3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2055</v>
      </c>
      <c r="G17" s="552">
        <f>IF(ISNUMBER(IF(D_I="SI",Datos!I17,Datos!I17+Datos!AC17)),IF(D_I="SI",Datos!I17,Datos!I17+Datos!AC17)," - ")</f>
        <v>2134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1875</v>
      </c>
      <c r="Z17" s="805">
        <f>IF(ISNUMBER(Datos!Q17),Datos!Q17," - ")</f>
        <v>67</v>
      </c>
      <c r="AA17" s="551">
        <f>IF(ISNUMBER(IF(D_I="SI",Datos!L17,Datos!L17+Datos!AF17)),IF(D_I="SI",Datos!L17,Datos!L17+Datos!AF17)," - ")</f>
        <v>1899</v>
      </c>
      <c r="AB17" s="549"/>
      <c r="AC17" s="549"/>
      <c r="AD17" s="563"/>
      <c r="AE17" s="563">
        <f>IF(ISNUMBER(Datos!R17),Datos!R17," - ")</f>
        <v>246</v>
      </c>
      <c r="AF17" s="693" t="str">
        <f>IF(ISNUMBER(Datos!BV17),Datos!BV17," - ")</f>
        <v xml:space="preserve"> - </v>
      </c>
      <c r="AG17" s="552"/>
      <c r="AH17" s="553"/>
      <c r="AI17" s="554"/>
      <c r="AJ17" s="552">
        <f>IF(ISNUMBER(Datos!M17),Datos!M17," - ")</f>
        <v>169</v>
      </c>
      <c r="AK17" s="693">
        <f>IF(ISNUMBER(Datos!N17),Datos!N17," - ")</f>
        <v>1335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3.0383999999999998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251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109</v>
      </c>
      <c r="Z18" s="805">
        <f>IF(ISNUMBER(Datos!Q18),Datos!Q18," - ")</f>
        <v>0</v>
      </c>
      <c r="AA18" s="551">
        <f>IF(ISNUMBER(Datos!L18),Datos!L18,"-")</f>
        <v>275</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6</v>
      </c>
      <c r="AK18" s="693">
        <f>IF(ISNUMBER(Datos!N18),Datos!N18," - ")</f>
        <v>51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7.5688073394495419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7</v>
      </c>
      <c r="F23" s="1197">
        <f>SUBTOTAL(9,F16:F22)</f>
        <v>2055</v>
      </c>
      <c r="G23" s="1197">
        <f>SUBTOTAL(9,G16:G22)</f>
        <v>2385</v>
      </c>
      <c r="H23" s="1240">
        <f>SUBTOTAL(9,H16:H22)</f>
        <v>0</v>
      </c>
      <c r="I23" s="1217">
        <f>SUBTOTAL(9,I16:I22)</f>
        <v>0</v>
      </c>
      <c r="J23" s="1164">
        <f>SUBTOTAL(9,J15:J22)</f>
        <v>0</v>
      </c>
      <c r="K23" s="1240">
        <f t="shared" ref="K23:S23" si="5">SUBTOTAL(9,K16:K22)</f>
        <v>0</v>
      </c>
      <c r="L23" s="1240">
        <f t="shared" si="5"/>
        <v>0</v>
      </c>
      <c r="M23" s="1240">
        <f t="shared" si="5"/>
        <v>0</v>
      </c>
      <c r="N23" s="1240">
        <f t="shared" si="5"/>
        <v>59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1984</v>
      </c>
      <c r="Z23" s="1240">
        <f t="shared" si="6"/>
        <v>67</v>
      </c>
      <c r="AA23" s="1240">
        <f t="shared" si="6"/>
        <v>2174</v>
      </c>
      <c r="AB23" s="1240">
        <f t="shared" si="6"/>
        <v>0</v>
      </c>
      <c r="AC23" s="1240">
        <f t="shared" si="6"/>
        <v>0</v>
      </c>
      <c r="AD23" s="1240">
        <f t="shared" si="6"/>
        <v>0</v>
      </c>
      <c r="AE23" s="1240">
        <f t="shared" si="6"/>
        <v>252</v>
      </c>
      <c r="AF23" s="1240">
        <f t="shared" si="6"/>
        <v>0</v>
      </c>
      <c r="AG23" s="1240">
        <f t="shared" si="6"/>
        <v>0</v>
      </c>
      <c r="AH23" s="1240">
        <f t="shared" si="6"/>
        <v>0</v>
      </c>
      <c r="AI23" s="1240">
        <f t="shared" si="6"/>
        <v>0</v>
      </c>
      <c r="AJ23" s="1240">
        <f t="shared" si="6"/>
        <v>175</v>
      </c>
      <c r="AK23" s="1240">
        <f t="shared" si="6"/>
        <v>1386</v>
      </c>
      <c r="AL23" s="1240">
        <f t="shared" si="6"/>
        <v>0</v>
      </c>
      <c r="AM23" s="1240">
        <f t="shared" si="6"/>
        <v>0</v>
      </c>
      <c r="AN23" s="1240">
        <f t="shared" si="6"/>
        <v>0</v>
      </c>
      <c r="AO23" s="1242">
        <f>IF(ISNUMBER(((NºAsuntos!I23/NºAsuntos!G23)*11)/factor_trimestre),((NºAsuntos!I23/NºAsuntos!G23)*11)/factor_trimestre," - ")</f>
        <v>3.287298387096774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2112</v>
      </c>
      <c r="G31" s="1117">
        <f t="shared" si="12"/>
        <v>2442</v>
      </c>
      <c r="H31" s="1118">
        <f t="shared" si="12"/>
        <v>0</v>
      </c>
      <c r="I31" s="1117">
        <f t="shared" si="12"/>
        <v>0</v>
      </c>
      <c r="J31" s="1119">
        <f t="shared" si="12"/>
        <v>0</v>
      </c>
      <c r="K31" s="1117">
        <f t="shared" si="12"/>
        <v>0</v>
      </c>
      <c r="L31" s="1120">
        <f t="shared" si="12"/>
        <v>0</v>
      </c>
      <c r="M31" s="1117">
        <f t="shared" si="12"/>
        <v>0</v>
      </c>
      <c r="N31" s="1118">
        <f t="shared" si="12"/>
        <v>408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2003</v>
      </c>
      <c r="Z31" s="1124">
        <f t="shared" si="13"/>
        <v>432</v>
      </c>
      <c r="AA31" s="1125">
        <f t="shared" si="13"/>
        <v>2220</v>
      </c>
      <c r="AB31" s="1125">
        <f t="shared" si="13"/>
        <v>0</v>
      </c>
      <c r="AC31" s="1125">
        <f t="shared" si="13"/>
        <v>0</v>
      </c>
      <c r="AD31" s="1126">
        <f t="shared" si="13"/>
        <v>0</v>
      </c>
      <c r="AE31" s="1126">
        <f t="shared" si="13"/>
        <v>6091</v>
      </c>
      <c r="AF31" s="1127">
        <f t="shared" si="13"/>
        <v>0</v>
      </c>
      <c r="AG31" s="1128">
        <f t="shared" si="13"/>
        <v>0</v>
      </c>
      <c r="AH31" s="1129">
        <f t="shared" si="13"/>
        <v>0</v>
      </c>
      <c r="AI31" s="1127">
        <f t="shared" si="13"/>
        <v>0</v>
      </c>
      <c r="AJ31" s="1117">
        <f t="shared" si="13"/>
        <v>735</v>
      </c>
      <c r="AK31" s="1117">
        <f t="shared" si="13"/>
        <v>1803</v>
      </c>
      <c r="AL31" s="1117">
        <f t="shared" si="13"/>
        <v>0</v>
      </c>
      <c r="AM31" s="1130">
        <f t="shared" si="13"/>
        <v>0</v>
      </c>
      <c r="AN31" s="1120">
        <f>IF(ISNUMBER(Datos!K31/Datos!J31),Datos!K31/Datos!J31," - ")</f>
        <v>1.0624005093919133</v>
      </c>
      <c r="AO31" s="1120">
        <f>IF(ISNUMBER(FIND("06",Criterios!A8,1)),(IF(ISNUMBER(((Datos!R31/Datos!Q31)*11)/factor_trimestre),((Datos!R31/Datos!Q31)*11)/factor_trimestre," - ")),(IF(ISNUMBER(((Datos!L31/Datos!K31)*11)/factor_trimestre),((Datos!L31/Datos!K31)*11)/factor_trimestre," - ")))</f>
        <v>4.3008690440515434</v>
      </c>
      <c r="AP31" s="1131" t="str">
        <f>IF(ISNUMBER(Datos!CI31/Datos!CJ31),Datos!CI31/Datos!CJ31," - ")</f>
        <v xml:space="preserve"> - </v>
      </c>
      <c r="AQ31" s="1131">
        <f>IF(OR(ISNUMBER(FIND("01",Criterios!A8,1)),ISNUMBER(FIND("02",Criterios!A8,1)),ISNUMBER(FIND("03",Criterios!A8,1)),ISNUMBER(FIND("04",Criterios!A8,1))),(J31-Y31+K31)/(F31-K31),(I31-Y31+K31)/(F31-K31))</f>
        <v>-0.94839015151515149</v>
      </c>
      <c r="AR31" s="1131">
        <f>IF(ISNUMBER((Datos!P31-Datos!Q31+O31)/(Datos!R31-Datos!P31+Datos!Q31-O31)),(Datos!P31-Datos!Q31+O31)/(Datos!R31-Datos!P31+Datos!Q31-O31)," - ")</f>
        <v>-3.9247751430907607E-3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697.71428571428567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1046.7905234572961</v>
      </c>
      <c r="G33" s="674">
        <f>IF(ISNUMBER(STDEV(G8:G30)),STDEV(G8:G30),"-")</f>
        <v>1072.6946931731809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239.35075875017759</v>
      </c>
      <c r="AK33" s="276"/>
      <c r="AL33" s="276">
        <f>IF(ISNUMBER(STDEV(AL8:AL30)),STDEV(AL8:AL30),"-")</f>
        <v>0</v>
      </c>
      <c r="AM33" s="278">
        <f>IF(ISNUMBER(STDEV(AM8:AM30)),STDEV(AM8:AM30),"-")</f>
        <v>0</v>
      </c>
      <c r="AN33" s="660">
        <f>IF(ISNUMBER(STDEV(AN8:AN30)),STDEV(AN8:AN30),"-")</f>
        <v>0</v>
      </c>
      <c r="AO33" s="661">
        <f>IF(ISNUMBER(STDEV(AO8:AO30)),STDEV(AO8:AO30),"-")</f>
        <v>1.9088065453785799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drqiTfLVuQYbPPWL/uXbtHW9ZIDstI6Uh4L1zxbPsWSC0AxS7F+AUvDHQBwaEcOkJrp+/IwRoyKi+IHr3mhoZA==" saltValue="YyOFgS1zdrzNDzzcnBnZi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dPBKk9PR/hrrYXnPFNfFkv8B5NpH7uNJHHBGrA8jwo5tsPKzfXmi7DPPT7yrZo+cVVaaTv2K0hah0brOzkInQ==" saltValue="2SZ+uzv07hl98FEHGTUTC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78Uk++FsUHNLNkUQ48jr1scNJtW8JqvA3Nk0mtuMq+ik7JSpEm0YT73LvvninEcrA/eb8adGTlJ5S9aC1M+Mw==" saltValue="mrRBOpzVyEC9CKEUCFWZQ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PALENCIA  Resumenes por Partidos Judiciales  PALENCIA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0.36649214659685864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0.259149082110253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dCgxPDDuKbVIJtb9vb5CXFOa+IlYjFdS8gSk+UKVVNhtVeuXSLRy64Qr53lzRh/zCPX3qBJrrnCFroSE/dXtlQ==" saltValue="hp3Ew4kzTge2ibgD23uft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YKHqICKid1h2I/peCBYAOpppHq/D/YlUyVz9PdfvdtIznTcB7YpHs6+ieradC+FF7B59ym+jWBRd2W4g30TYXQ==" saltValue="eheZFKlz5Wg8KjS+qCtqg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PALENCIA</v>
      </c>
      <c r="D3" s="436"/>
      <c r="E3" s="436"/>
      <c r="F3" s="436"/>
    </row>
    <row r="4" spans="1:14" ht="13.5" thickBot="1">
      <c r="A4" s="436"/>
      <c r="B4" s="439" t="str">
        <f>Criterios!A11 &amp;"  "&amp;Criterios!B11</f>
        <v>Resumenes por Partidos Judiciales  PALENCIA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57</v>
      </c>
      <c r="D10" s="452">
        <f>IF(ISNUMBER(C10/Datos!BH10),C10/Datos!BH10," - ")</f>
        <v>57</v>
      </c>
      <c r="E10" s="451">
        <f>IF(ISNUMBER(Datos!J10),Datos!J10," - ")</f>
        <v>8</v>
      </c>
      <c r="F10" s="452">
        <f>IF(ISNUMBER(E10/B10),E10/B10," - ")</f>
        <v>8</v>
      </c>
      <c r="G10" s="451">
        <f>IF(ISNUMBER(Datos!K10),Datos!K10," - ")</f>
        <v>19</v>
      </c>
      <c r="H10" s="452">
        <f>IF(ISNUMBER(G10/B10),G10/B10," - ")</f>
        <v>19</v>
      </c>
      <c r="I10" s="451">
        <f>IF(ISNUMBER(Datos!L10),Datos!L10," - ")</f>
        <v>46</v>
      </c>
      <c r="J10" s="452">
        <f>IF(ISNUMBER(I10/B10),I10/B10," - ")</f>
        <v>46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2804</v>
      </c>
      <c r="D12" s="452">
        <f>IF(ISNUMBER(C12/Datos!BH12),C12/Datos!BH12," - ")</f>
        <v>400.57142857142856</v>
      </c>
      <c r="E12" s="451">
        <f>IF(ISNUMBER(IF(J_V="SI",Datos!J12,Datos!J12+Datos!Z12)),IF(J_V="SI",Datos!J12,Datos!J12+Datos!Z12)," - ")</f>
        <v>1434</v>
      </c>
      <c r="F12" s="452">
        <f>IF(ISNUMBER(E12/B12),E12/B12," - ")</f>
        <v>204.85714285714286</v>
      </c>
      <c r="G12" s="451">
        <f>IF(ISNUMBER(IF(J_V="SI",Datos!K12,Datos!K12+Datos!AA12)),IF(J_V="SI",Datos!K12,Datos!K12+Datos!AA12)," - ")</f>
        <v>1509</v>
      </c>
      <c r="H12" s="452">
        <f>IF(ISNUMBER(G12/B12),G12/B12," - ")</f>
        <v>215.57142857142858</v>
      </c>
      <c r="I12" s="451">
        <f>IF(ISNUMBER(IF(J_V="SI",Datos!L12,Datos!L12+Datos!AB12)),IF(J_V="SI",Datos!L12,Datos!L12+Datos!AB12)," - ")</f>
        <v>2753</v>
      </c>
      <c r="J12" s="452">
        <f>IF(ISNUMBER(I12/B12),I12/B12," - ")</f>
        <v>393.28571428571428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2861</v>
      </c>
      <c r="D14" s="1147" t="str">
        <f>IF(ISNUMBER(C14/Datos!BI14),C14/Datos!BI14," - ")</f>
        <v xml:space="preserve"> - </v>
      </c>
      <c r="E14" s="1146">
        <f>SUBTOTAL(9,E8:E13)</f>
        <v>1442</v>
      </c>
      <c r="F14" s="1147">
        <f>IF(ISNUMBER(E14/B14),E14/B14," - ")</f>
        <v>206</v>
      </c>
      <c r="G14" s="1146">
        <f>SUBTOTAL(9,G8:G13)</f>
        <v>1528</v>
      </c>
      <c r="H14" s="1147">
        <f>IF(ISNUMBER(G14/B14),G14/B14," - ")</f>
        <v>218.28571428571428</v>
      </c>
      <c r="I14" s="1146">
        <f>SUBTOTAL(9,I8:I13)</f>
        <v>2799</v>
      </c>
      <c r="J14" s="1147">
        <f>IF(ISNUMBER(I14/B14),I14/B14," - ")</f>
        <v>399.85714285714283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2134</v>
      </c>
      <c r="D17" s="452">
        <f>IF(ISNUMBER(C17/Datos!BH17),C17/Datos!BH17," - ")</f>
        <v>304.85714285714283</v>
      </c>
      <c r="E17" s="451">
        <f>IF(ISNUMBER(IF(D_I="SI",Datos!J17,Datos!J17+Datos!AD17)),IF(D_I="SI",Datos!J17,Datos!J17+Datos!AD17)," - ")</f>
        <v>1719</v>
      </c>
      <c r="F17" s="452">
        <f>IF(ISNUMBER(E17/B17),E17/B17," - ")</f>
        <v>245.57142857142858</v>
      </c>
      <c r="G17" s="451">
        <f>IF(ISNUMBER(IF(D_I="SI",Datos!K17,Datos!K17+Datos!AE17)),IF(D_I="SI",Datos!K17,Datos!K17+Datos!AE17)," - ")</f>
        <v>1875</v>
      </c>
      <c r="H17" s="452">
        <f>IF(ISNUMBER(G17/B17),G17/B17," - ")</f>
        <v>267.85714285714283</v>
      </c>
      <c r="I17" s="451">
        <f>IF(ISNUMBER(IF(D_I="SI",Datos!L17,Datos!L17+Datos!AF17)),IF(D_I="SI",Datos!L17,Datos!L17+Datos!AF17)," - ")</f>
        <v>1899</v>
      </c>
      <c r="J17" s="452">
        <f>IF(ISNUMBER(I17/B17),I17/B17," - ")</f>
        <v>271.28571428571428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251</v>
      </c>
      <c r="D18" s="452">
        <f>IF(ISNUMBER(C18/Datos!BH18),C18/Datos!BH18," - ")</f>
        <v>251</v>
      </c>
      <c r="E18" s="451">
        <f>IF(ISNUMBER(IF(D_I="SI",Datos!J18,Datos!J18+Datos!AD18)),IF(D_I="SI",Datos!J18,Datos!J18+Datos!AD18)," - ")</f>
        <v>133</v>
      </c>
      <c r="F18" s="452">
        <f>IF(ISNUMBER(E18/B18),E18/B18," - ")</f>
        <v>133</v>
      </c>
      <c r="G18" s="451">
        <f>IF(ISNUMBER(IF(D_I="SI",Datos!K18,Datos!K18+Datos!AE18)),IF(D_I="SI",Datos!K18,Datos!K18+Datos!AE18)," - ")</f>
        <v>109</v>
      </c>
      <c r="H18" s="452">
        <f>IF(ISNUMBER(G18/B18),G18/B18," - ")</f>
        <v>109</v>
      </c>
      <c r="I18" s="451">
        <f>IF(ISNUMBER(IF(D_I="SI",Datos!L18,Datos!L18+Datos!AF18)),IF(D_I="SI",Datos!L18,Datos!L18+Datos!AF18)," - ")</f>
        <v>275</v>
      </c>
      <c r="J18" s="452">
        <f>IF(ISNUMBER(I18/B18),I18/B18," - ")</f>
        <v>275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2385</v>
      </c>
      <c r="D23" s="1147" t="str">
        <f>IF(ISNUMBER(C23/Datos!BI23),C23/Datos!BI23," - ")</f>
        <v xml:space="preserve"> - </v>
      </c>
      <c r="E23" s="1146">
        <f>SUBTOTAL(9,E15:E22)</f>
        <v>1852</v>
      </c>
      <c r="F23" s="1147">
        <f>IF(ISNUMBER(E23/B23),E23/B23," - ")</f>
        <v>264.57142857142856</v>
      </c>
      <c r="G23" s="1146">
        <f>SUBTOTAL(9,G15:G22)</f>
        <v>1984</v>
      </c>
      <c r="H23" s="1147">
        <f>IF(ISNUMBER(G23/B23),G23/B23," - ")</f>
        <v>283.42857142857144</v>
      </c>
      <c r="I23" s="1146">
        <f>SUBTOTAL(9,I15:I22)</f>
        <v>2174</v>
      </c>
      <c r="J23" s="1147">
        <f>IF(ISNUMBER(I23/B23),I23/B23," - ")</f>
        <v>310.57142857142856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7</v>
      </c>
      <c r="C31" s="1084">
        <f>SUBTOTAL(9,C9:C30)</f>
        <v>5246</v>
      </c>
      <c r="D31" s="1085" t="str">
        <f>IF(ISNUMBER(C31/Datos!BI31),C31/Datos!BI31," - ")</f>
        <v xml:space="preserve"> - </v>
      </c>
      <c r="E31" s="1084">
        <f>SUBTOTAL(9,E9:E30)</f>
        <v>3294</v>
      </c>
      <c r="F31" s="1085">
        <f>IF(ISNUMBER(E31/B31),E31/B31," - ")</f>
        <v>470.57142857142856</v>
      </c>
      <c r="G31" s="1084">
        <f>SUBTOTAL(9,G9:G30)</f>
        <v>3512</v>
      </c>
      <c r="H31" s="1085">
        <f>IF(ISNUMBER(G31/B31),G31/B31," - ")</f>
        <v>501.71428571428572</v>
      </c>
      <c r="I31" s="1084">
        <f>SUBTOTAL(9,I9:I30)</f>
        <v>4973</v>
      </c>
      <c r="J31" s="1085">
        <f>IF(ISNUMBER(I31/B31),I31/B31," - ")</f>
        <v>710.42857142857144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IM4SGqPVEeuMSFJ41BsBbL9jDVHgL+AocGez0y/8ct10WQBK7nOQID6LgUtOdbCexg7wxKY8r0lYE1tuwJy2cg==" saltValue="qfkL5e2p85V8WB/Qfm1Dj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PALENCIA  Resumenes por Partidos Judiciales  PALENCIA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57</v>
      </c>
      <c r="G10" s="906">
        <f>IF(ISNUMBER(Datos!I10),Datos!I10," - ")</f>
        <v>57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19</v>
      </c>
      <c r="AC10" s="905" t="str">
        <f>IF(ISNUMBER(IF(D_I="SI",DatosP!K18,DatosP!K18+DatosP!AE18)),IF(D_I="SI",DatosP!K18,DatosP!K18+DatosP!AE18)," - ")</f>
        <v xml:space="preserve"> - </v>
      </c>
      <c r="AD10" s="907"/>
      <c r="AE10" s="907"/>
      <c r="AF10" s="910">
        <f>IF(ISNUMBER(Datos!L10),Datos!L10,"-")</f>
        <v>46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14</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7.2631578947368425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349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365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5839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546</v>
      </c>
      <c r="AM12" s="914">
        <f>IF(ISNUMBER(Datos!N12+DatosP!N17),Datos!N12+DatosP!N17," - ")</f>
        <v>413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5.4731610337972167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-2.7327070879590095E-3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57</v>
      </c>
      <c r="G14" s="1256">
        <f t="shared" si="0"/>
        <v>57</v>
      </c>
      <c r="H14" s="1256">
        <f t="shared" si="0"/>
        <v>0</v>
      </c>
      <c r="I14" s="1258">
        <f t="shared" si="0"/>
        <v>0</v>
      </c>
      <c r="J14" s="1257">
        <f t="shared" si="0"/>
        <v>0</v>
      </c>
      <c r="K14" s="1257">
        <f t="shared" si="0"/>
        <v>0</v>
      </c>
      <c r="L14" s="1259">
        <f t="shared" si="0"/>
        <v>0</v>
      </c>
      <c r="M14" s="1259">
        <f t="shared" si="0"/>
        <v>0</v>
      </c>
      <c r="N14" s="1257">
        <f t="shared" si="0"/>
        <v>349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19</v>
      </c>
      <c r="AC14" s="1257">
        <f t="shared" si="1"/>
        <v>0</v>
      </c>
      <c r="AD14" s="1257">
        <f t="shared" si="1"/>
        <v>365</v>
      </c>
      <c r="AE14" s="1257">
        <f t="shared" si="1"/>
        <v>0</v>
      </c>
      <c r="AF14" s="1257">
        <f t="shared" si="1"/>
        <v>46</v>
      </c>
      <c r="AG14" s="1257">
        <f t="shared" si="1"/>
        <v>0</v>
      </c>
      <c r="AH14" s="1257">
        <f t="shared" si="1"/>
        <v>5839</v>
      </c>
      <c r="AI14" s="1257">
        <f t="shared" si="1"/>
        <v>0</v>
      </c>
      <c r="AJ14" s="1257">
        <f t="shared" si="1"/>
        <v>0</v>
      </c>
      <c r="AK14" s="1257">
        <f t="shared" si="1"/>
        <v>0</v>
      </c>
      <c r="AL14" s="1257">
        <f t="shared" si="1"/>
        <v>560</v>
      </c>
      <c r="AM14" s="1257">
        <f t="shared" si="1"/>
        <v>417</v>
      </c>
      <c r="AN14" s="1257">
        <f t="shared" si="1"/>
        <v>0</v>
      </c>
      <c r="AO14" s="1257">
        <f t="shared" si="1"/>
        <v>0</v>
      </c>
      <c r="AP14" s="1262">
        <f>IF(ISNUMBER(((Datos!L14/Datos!K14)*11)/factor_trimestre),((Datos!L14/Datos!K14)*11)/factor_trimestre," - ")</f>
        <v>5.7871396895787139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-0.33333333333333331</v>
      </c>
      <c r="AU14" s="1257" t="str">
        <f>IF(ISNUMBER((DatosP!#REF!-DatosP!#REF!+DatosP!#REF!)/(DatosP!#REF!+DatosP!#REF!-DatosP!#REF!-DatosP!#REF!)),(DatosP!#REF!-DatosP!#REF!+DatosP!#REF!)/(DatosP!#REF!+DatosP!#REF!-DatosP!#REF!-DatosP!#REF!)," - ")</f>
        <v xml:space="preserve"> - </v>
      </c>
      <c r="AV14" s="1263">
        <f>SUBTOTAL(9,AV9:AV13)</f>
        <v>-2.7327070879590095E-3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3.287298387096774</v>
      </c>
      <c r="AQ23" s="1262">
        <f>IF(ISNUMBER(((Datos!M23/Datos!L23)*11)/factor_trimestre),((Datos!M23/Datos!L23)*11)/factor_trimestre," - ")</f>
        <v>0.24149034038638459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-3.0769230769230771E-2</v>
      </c>
      <c r="AW23" s="1265">
        <f>IF(ISNUMBER((Datos!Q23-Datos!R23)/(Datos!S23-Datos!Q23+Datos!R23)),(Datos!Q23-Datos!R23)/(Datos!S23-Datos!Q23+Datos!R23)," - ")</f>
        <v>-7.7373483897950651E-2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57</v>
      </c>
      <c r="G31" s="1278">
        <f t="shared" si="8"/>
        <v>57</v>
      </c>
      <c r="H31" s="1278">
        <f t="shared" si="8"/>
        <v>0</v>
      </c>
      <c r="I31" s="1279">
        <f t="shared" si="8"/>
        <v>0</v>
      </c>
      <c r="J31" s="1280">
        <f t="shared" si="8"/>
        <v>0</v>
      </c>
      <c r="K31" s="1280">
        <f t="shared" si="8"/>
        <v>0</v>
      </c>
      <c r="L31" s="1280">
        <f t="shared" si="8"/>
        <v>0</v>
      </c>
      <c r="M31" s="1280">
        <f t="shared" si="8"/>
        <v>0</v>
      </c>
      <c r="N31" s="1279">
        <f t="shared" si="8"/>
        <v>349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19</v>
      </c>
      <c r="AC31" s="1284">
        <f t="shared" si="9"/>
        <v>0</v>
      </c>
      <c r="AD31" s="1284">
        <f t="shared" si="9"/>
        <v>365</v>
      </c>
      <c r="AE31" s="1284">
        <f t="shared" si="9"/>
        <v>0</v>
      </c>
      <c r="AF31" s="1285">
        <f t="shared" si="9"/>
        <v>46</v>
      </c>
      <c r="AG31" s="1285">
        <f t="shared" si="9"/>
        <v>0</v>
      </c>
      <c r="AH31" s="1285">
        <f t="shared" si="9"/>
        <v>5839</v>
      </c>
      <c r="AI31" s="1285">
        <f t="shared" si="9"/>
        <v>0</v>
      </c>
      <c r="AJ31" s="1286">
        <f t="shared" si="9"/>
        <v>0</v>
      </c>
      <c r="AK31" s="1286">
        <f t="shared" si="9"/>
        <v>0</v>
      </c>
      <c r="AL31" s="1278">
        <f t="shared" si="9"/>
        <v>560</v>
      </c>
      <c r="AM31" s="1278">
        <f t="shared" si="9"/>
        <v>417</v>
      </c>
      <c r="AN31" s="1278">
        <f t="shared" si="9"/>
        <v>0</v>
      </c>
      <c r="AO31" s="1278">
        <f t="shared" si="9"/>
        <v>0</v>
      </c>
      <c r="AP31" s="1278">
        <f>IF(ISNUMBER(((Datos!L31/Datos!K31)*11)/factor_trimestre),((Datos!L31/Datos!K31)*11)/factor_trimestre," - ")</f>
        <v>4.3008690440515434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-0.33333333333333331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-3.9247751430907607E-3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3.0867098629086893</v>
      </c>
      <c r="F33" s="1006">
        <f>IF(ISNUMBER(STDEV(F8:F30)),STDEV(F8:F30),"-")</f>
        <v>31.22018577779447</v>
      </c>
      <c r="G33" s="1007">
        <f>IF(ISNUMBER(STDEV(G8:G30)),STDEV(G8:G30),"-")</f>
        <v>31.22018577779447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10.406728592598157</v>
      </c>
      <c r="AC33" s="1008">
        <f>IF(ISNUMBER(STDEV(AC8:AC30)),STDEV(AC8:AC30),"-")</f>
        <v>0</v>
      </c>
      <c r="AD33" s="1011"/>
      <c r="AE33" s="1011"/>
      <c r="AF33" s="1011"/>
      <c r="AG33" s="1011"/>
      <c r="AH33" s="1011"/>
      <c r="AI33" s="1011"/>
      <c r="AJ33" s="1012">
        <f>IF(ISNUMBER(STDEV(AJ8:AJ30)),STDEV(AJ8:AJ30),"-")</f>
        <v>0</v>
      </c>
      <c r="AK33" s="1014"/>
      <c r="AL33" s="1006">
        <f>IF(ISNUMBER(STDEV(AL8:AL30)),STDEV(AL8:AL30),"-")</f>
        <v>283.84690709371256</v>
      </c>
      <c r="AM33" s="1006"/>
      <c r="AN33" s="1006">
        <f>IF(ISNUMBER(STDEV(AN8:AN30)),STDEV(AN8:AN30),"-")</f>
        <v>0</v>
      </c>
      <c r="AO33" s="1012">
        <f>IF(ISNUMBER(STDEV(AO8:AO30)),STDEV(AO8:AO30),"-")</f>
        <v>0</v>
      </c>
      <c r="AP33" s="1065">
        <f>IF(ISNUMBER(STDEV(AP8:AP30)),STDEV(AP8:AP30),"-")</f>
        <v>1.641035292448672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TnOpj0iUUQYyXN5pE/eoeFfOVDy7pHicZD87cxQXv2THCx9/0oDMfqhi58yZCelCY2zRHH2rGI/+ZVgdFB5pgg==" saltValue="5mXKqTv2VxrGa2WF3WtXy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PALENCIA</v>
      </c>
      <c r="C3" s="463"/>
      <c r="F3" s="436"/>
      <c r="G3" s="436"/>
      <c r="H3" s="436"/>
    </row>
    <row r="4" spans="1:15" ht="13.5" thickBot="1">
      <c r="A4" s="436"/>
      <c r="B4" s="439" t="str">
        <f>Criterios!A11 &amp;"  "&amp;Criterios!B11</f>
        <v>Resumenes por Partidos Judiciales  PALENCIA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rf6fYNFTBi8e6o3Y7NIh8mJYG77BkGEx10bnVQw9lAZGGTkJsN1niKn8XKdhGfIbaTUjuN3Qi4/L7nohWeiadQ==" saltValue="4ezkB9ztsZ8DBOVDSpdui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PALENCIA</v>
      </c>
      <c r="C3" s="475"/>
      <c r="D3" s="476"/>
    </row>
    <row r="4" spans="1:9" ht="13.5" thickBot="1">
      <c r="B4" s="477" t="str">
        <f>Criterios!A11 &amp;"  "&amp;Criterios!B11</f>
        <v>Resumenes por Partidos Judiciales  PALENCIA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14</v>
      </c>
      <c r="E10" s="452">
        <f>IF(ISNUMBER(D10/B10),D10/B10," - ")</f>
        <v>14</v>
      </c>
      <c r="F10" s="451">
        <f>IF(ISNUMBER(Datos!N10),Datos!N10," - ")</f>
        <v>4</v>
      </c>
      <c r="G10" s="452">
        <f>IF(ISNUMBER(F10/B10),F10/B10," - ")</f>
        <v>4</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546</v>
      </c>
      <c r="E12" s="452">
        <f t="shared" si="0"/>
        <v>78</v>
      </c>
      <c r="F12" s="451">
        <f>IF(ISNUMBER(Datos!N12),Datos!N12," - ")</f>
        <v>413</v>
      </c>
      <c r="G12" s="452">
        <f t="shared" si="1"/>
        <v>59</v>
      </c>
      <c r="H12" s="451">
        <f>IF(ISNUMBER(Datos!O12),Datos!O12," - ")</f>
        <v>691</v>
      </c>
      <c r="I12" s="452">
        <f t="shared" si="2"/>
        <v>98.714285714285708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7</v>
      </c>
      <c r="D14" s="1146">
        <f>SUBTOTAL(9,D9:D13)</f>
        <v>560</v>
      </c>
      <c r="E14" s="1147">
        <f t="shared" si="0"/>
        <v>70</v>
      </c>
      <c r="F14" s="1146">
        <f>SUBTOTAL(9,F9:F13)</f>
        <v>417</v>
      </c>
      <c r="G14" s="1147">
        <f t="shared" si="1"/>
        <v>52.125</v>
      </c>
      <c r="H14" s="1146">
        <f>SUBTOTAL(9,H9:H13)</f>
        <v>692</v>
      </c>
      <c r="I14" s="1147">
        <f>IF(ISNUMBER(H14/B14),H14/B14," - ")</f>
        <v>86.5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169</v>
      </c>
      <c r="E17" s="452">
        <f t="shared" si="3"/>
        <v>24.142857142857142</v>
      </c>
      <c r="F17" s="451">
        <f>IF(ISNUMBER(Datos!N17),Datos!N17," - ")</f>
        <v>1335</v>
      </c>
      <c r="G17" s="452">
        <f t="shared" si="4"/>
        <v>190.71428571428572</v>
      </c>
      <c r="H17" s="451">
        <f>IF(ISNUMBER(Datos!O17),Datos!O17," - ")</f>
        <v>34</v>
      </c>
      <c r="I17" s="452">
        <f t="shared" si="5"/>
        <v>4.8571428571428568</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51</v>
      </c>
      <c r="G18" s="452">
        <f>IF(ISNUMBER(F18/B18),F18/B18," - ")</f>
        <v>51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7</v>
      </c>
      <c r="D23" s="1146">
        <f>SUBTOTAL(9,D16:D22)</f>
        <v>175</v>
      </c>
      <c r="E23" s="1147">
        <f t="shared" si="3"/>
        <v>21.875</v>
      </c>
      <c r="F23" s="1146">
        <f>SUBTOTAL(9,F16:F22)</f>
        <v>1386</v>
      </c>
      <c r="G23" s="1147">
        <f t="shared" si="4"/>
        <v>173.25</v>
      </c>
      <c r="H23" s="1146">
        <f>SUBTOTAL(9,H16:H22)</f>
        <v>34</v>
      </c>
      <c r="I23" s="1147">
        <f>IF(ISNUMBER(H23/B23),H23/B23," - ")</f>
        <v>4.25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7</v>
      </c>
      <c r="C31" s="1084">
        <f>Datos!AR31</f>
        <v>7</v>
      </c>
      <c r="D31" s="1084">
        <f>SUBTOTAL(9,D8:D30)</f>
        <v>735</v>
      </c>
      <c r="E31" s="1085">
        <f>IF(ISNUMBER(D31/B31),D31/B31," - ")</f>
        <v>105</v>
      </c>
      <c r="F31" s="1084">
        <f>SUBTOTAL(9,F8:F30)</f>
        <v>1803</v>
      </c>
      <c r="G31" s="1085">
        <f>IF(ISNUMBER(F31/B31),F31/B31," - ")</f>
        <v>257.57142857142856</v>
      </c>
      <c r="H31" s="1084">
        <f>SUBTOTAL(9,H8:H30)</f>
        <v>726</v>
      </c>
      <c r="I31" s="1085">
        <f>IF(ISNUMBER(H31/B31),H31/B31," - ")</f>
        <v>103.71428571428571</v>
      </c>
    </row>
    <row r="34" spans="1:1">
      <c r="A34" s="439" t="str">
        <f>Criterios!A4</f>
        <v>Fecha Informe: 05 may. 2023</v>
      </c>
    </row>
    <row r="39" spans="1:1">
      <c r="A39" s="462"/>
    </row>
  </sheetData>
  <sheetProtection algorithmName="SHA-512" hashValue="YhHwYJM5i0Sum0tUCPCrTsBB9M5Dr7RW2So73s43LoL4MqerUnk414pbil8zMR73ty3j+lhllXEgEiNN4qIALA==" saltValue="D7UG0fuGMDOOj2h0cYxRY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PALENCIA</v>
      </c>
    </row>
    <row r="4" spans="1:4" ht="13.5" thickBot="1">
      <c r="B4" s="439" t="str">
        <f>Criterios!A11 &amp;"  "&amp;Criterios!B11</f>
        <v>Resumenes por Partidos Judiciales  PALENCIA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349</v>
      </c>
      <c r="C12" s="489">
        <f>IF(ISNUMBER(Datos!Q12),Datos!Q12," - ")</f>
        <v>365</v>
      </c>
      <c r="D12" s="456">
        <f>IF(ISNUMBER(Datos!R12),Datos!R12," - ")</f>
        <v>5839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349</v>
      </c>
      <c r="C14" s="1150">
        <f>SUBTOTAL(9,C9:C13)</f>
        <v>365</v>
      </c>
      <c r="D14" s="1148">
        <f>SUBTOTAL(9,D9:D13)</f>
        <v>5839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59</v>
      </c>
      <c r="C17" s="489">
        <f>IF(ISNUMBER(Datos!Q17),Datos!Q17," - ")</f>
        <v>67</v>
      </c>
      <c r="D17" s="456">
        <f>IF(ISNUMBER(Datos!R17),Datos!R17," - ")</f>
        <v>246</v>
      </c>
    </row>
    <row r="18" spans="1:4">
      <c r="A18" s="450" t="str">
        <f>Datos!A18</f>
        <v>Jdos. Violencia contra la mujer</v>
      </c>
      <c r="B18" s="488">
        <f>IF(ISNUMBER(Datos!P18),Datos!P18," - ")</f>
        <v>0</v>
      </c>
      <c r="C18" s="489">
        <f>IF(ISNUMBER(Datos!Q18),Datos!Q18," - ")</f>
        <v>0</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59</v>
      </c>
      <c r="C23" s="1150">
        <f>SUBTOTAL(9,C16:C22)</f>
        <v>67</v>
      </c>
      <c r="D23" s="1148">
        <f>SUBTOTAL(9,D16:D22)</f>
        <v>252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408</v>
      </c>
      <c r="C31" s="1089">
        <f>SUBTOTAL(9,C8:C30)</f>
        <v>432</v>
      </c>
      <c r="D31" s="1090">
        <f>SUBTOTAL(9,D8:D30)</f>
        <v>6091</v>
      </c>
    </row>
    <row r="32" spans="1:4" ht="7.5" customHeight="1"/>
    <row r="33" spans="1:1" ht="6" customHeight="1"/>
    <row r="34" spans="1:1">
      <c r="A34" s="439" t="str">
        <f>Criterios!A4</f>
        <v>Fecha Informe: 05 may. 2023</v>
      </c>
    </row>
    <row r="39" spans="1:1">
      <c r="A39" s="462"/>
    </row>
  </sheetData>
  <sheetProtection algorithmName="SHA-512" hashValue="Ph58/jATWW3TI4dKxeYAQ3HbmILQI6ht9TrVqsG6y0IzFghJKj/ZnHddrpoa+qWauV9nFTtI9uzv27e7y/7vzQ==" saltValue="vAQf5f7az6jAplLyAT/tG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PALENCIA</v>
      </c>
    </row>
    <row r="4" spans="1:11" ht="10.5" customHeight="1" thickBot="1">
      <c r="B4" s="439" t="str">
        <f>Criterios!A11 &amp;"  "&amp;Criterios!B11</f>
        <v>Resumenes por Partidos Judiciales  PALENCIA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1.1923076923076923</v>
      </c>
      <c r="C10" s="515">
        <f>IF(ISNUMBER((Datos!J10-Datos!T10)/Datos!T10),(Datos!J10-Datos!T10)/Datos!T10," - ")</f>
        <v>0.14285714285714285</v>
      </c>
      <c r="D10" s="515">
        <f>IF(ISNUMBER((Datos!K10-Datos!U10)/Datos!U10),(Datos!K10-Datos!U10)/Datos!U10," - ")</f>
        <v>1.1111111111111112</v>
      </c>
      <c r="E10" s="515">
        <f>IF(ISNUMBER((Datos!L10-Datos!V10)/Datos!V10),(Datos!L10-Datos!V10)/Datos!V10," - ")</f>
        <v>0.91666666666666663</v>
      </c>
      <c r="F10" s="515">
        <f>IF(ISNUMBER((Datos!M10-Datos!W10)/Datos!W10),(Datos!M10-Datos!W10)/Datos!W10," - ")</f>
        <v>1.3333333333333333</v>
      </c>
      <c r="G10" s="516">
        <f>IF(ISNUMBER((Datos!N10-Datos!X10)/Datos!X10),(Datos!N10-Datos!X10)/Datos!X10," - ")</f>
        <v>0.33333333333333331</v>
      </c>
      <c r="H10" s="514">
        <f>IF(ISNUMBER(((NºAsuntos!G10/NºAsuntos!E10)-Datos!BD10)/Datos!BD10),((NºAsuntos!G10/NºAsuntos!E10)-Datos!BD10)/Datos!BD10," - ")</f>
        <v>0.8472222222222221</v>
      </c>
      <c r="I10" s="515">
        <f>IF(ISNUMBER(((NºAsuntos!I10/NºAsuntos!G10)-Datos!BE10)/Datos!BE10),((NºAsuntos!I10/NºAsuntos!G10)-Datos!BE10)/Datos!BE10," - ")</f>
        <v>-9.210526315789469E-2</v>
      </c>
      <c r="J10" s="521">
        <f>IF(ISNUMBER((('Resol  Asuntos'!D10/NºAsuntos!G10)-Datos!BF10)/Datos!BF10),(('Resol  Asuntos'!D10/NºAsuntos!G10)-Datos!BF10)/Datos!BF10," - ")</f>
        <v>0.10526315789473684</v>
      </c>
      <c r="K10" s="522">
        <f>IF(ISNUMBER((((NºAsuntos!C10+NºAsuntos!E10)/NºAsuntos!G10)-Datos!BG10)/Datos!BG10),(((NºAsuntos!C10+NºAsuntos!E10)/NºAsuntos!G10)-Datos!BG10)/Datos!BG10," - ")</f>
        <v>-6.6985645933014329E-2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-0.31325006122948812</v>
      </c>
      <c r="C12" s="515">
        <f>IF(ISNUMBER(
   IF(J_V="SI",(Datos!J12-Datos!T12)/Datos!T12,(Datos!J12+Datos!Z12-(Datos!T12+Datos!AH12))/(Datos!T12+Datos!AH12))
     ),IF(J_V="SI",(Datos!J12-Datos!T12)/Datos!T12,(Datos!J12+Datos!Z12-(Datos!T12+Datos!AH12))/(Datos!T12+Datos!AH12))," - ")</f>
        <v>3.017241379310345E-2</v>
      </c>
      <c r="D12" s="515">
        <f>IF(ISNUMBER(
   IF(J_V="SI",(Datos!K12-Datos!U12)/Datos!U12,(Datos!K12+Datos!AA12-(Datos!U12+Datos!AI12))/(Datos!U12+Datos!AI12))
     ),IF(J_V="SI",(Datos!K12-Datos!U12)/Datos!U12,(Datos!K12+Datos!AA12-(Datos!U12+Datos!AI12))/(Datos!U12+Datos!AI12))," - ")</f>
        <v>-0.20243128964059195</v>
      </c>
      <c r="E12" s="515">
        <f>IF(ISNUMBER(
   IF(J_V="SI",(Datos!L12-Datos!V12)/Datos!V12,(Datos!L12+Datos!AB12-(Datos!V12+Datos!AJ12))/(Datos!V12+Datos!AJ12))
     ),IF(J_V="SI",(Datos!L12-Datos!V12)/Datos!V12,(Datos!L12+Datos!AB12-(Datos!V12+Datos!AJ12))/(Datos!V12+Datos!AJ12))," - ")</f>
        <v>-0.22077554486272291</v>
      </c>
      <c r="F12" s="515">
        <f>IF(ISNUMBER((Datos!M12-Datos!W12)/Datos!W12),(Datos!M12-Datos!W12)/Datos!W12," - ")</f>
        <v>-0.27682119205298011</v>
      </c>
      <c r="G12" s="516">
        <f>IF(ISNUMBER((Datos!N12-Datos!X12)/Datos!X12),(Datos!N12-Datos!X12)/Datos!X12," - ")</f>
        <v>-0.10799136069114471</v>
      </c>
      <c r="H12" s="514">
        <f>IF(ISNUMBER(((NºAsuntos!G12/NºAsuntos!E12)-Datos!BD12)/Datos!BD12),((NºAsuntos!G12/NºAsuntos!E12)-Datos!BD12)/Datos!BD12," - ")</f>
        <v>-0.22579104266367081</v>
      </c>
      <c r="I12" s="515">
        <f>IF(ISNUMBER(((NºAsuntos!I12/NºAsuntos!G12)-Datos!BE12)/Datos!BE12),((NºAsuntos!I12/NºAsuntos!G12)-Datos!BE12)/Datos!BE12," - ")</f>
        <v>-2.30002192712205E-2</v>
      </c>
      <c r="J12" s="521">
        <f>IF(ISNUMBER((('Resol  Asuntos'!D12/NºAsuntos!G12)-Datos!BF12)/Datos!BF12),(('Resol  Asuntos'!D12/NºAsuntos!G12)-Datos!BF12)/Datos!BF12," - ")</f>
        <v>0.47857563045055806</v>
      </c>
      <c r="K12" s="522">
        <f>IF(ISNUMBER((((NºAsuntos!C12+NºAsuntos!E12)/NºAsuntos!G12)-Datos!BG12)/Datos!BG12),(((NºAsuntos!C12+NºAsuntos!E12)/NºAsuntos!G12)-Datos!BG12)/Datos!BG12," - ")</f>
        <v>-2.9470543557528411E-2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-0.30372353370649791</v>
      </c>
      <c r="C14" s="1152">
        <f>IF(ISNUMBER(
   IF(J_V="SI",(Datos!J14-Datos!T14)/Datos!T14,(Datos!J14+Datos!Z14-(Datos!T14+Datos!AH14))/(Datos!T14+Datos!AH14))
     ),IF(J_V="SI",(Datos!J14-Datos!T14)/Datos!T14,(Datos!J14+Datos!Z14-(Datos!T14+Datos!AH14))/(Datos!T14+Datos!AH14))," - ")</f>
        <v>3.0736240171551108E-2</v>
      </c>
      <c r="D14" s="1152">
        <f>IF(ISNUMBER(
   IF(J_V="SI",(Datos!K14-Datos!U14)/Datos!U14,(Datos!K14+Datos!AA14-(Datos!U14+Datos!AI14))/(Datos!U14+Datos!AI14))
     ),IF(J_V="SI",(Datos!K14-Datos!U14)/Datos!U14,(Datos!K14+Datos!AA14-(Datos!U14+Datos!AI14))/(Datos!U14+Datos!AI14))," - ")</f>
        <v>-0.19621251972645976</v>
      </c>
      <c r="E14" s="1152">
        <f>IF(ISNUMBER(
   IF(J_V="SI",(Datos!L14-Datos!V14)/Datos!V14,(Datos!L14+Datos!AB14-(Datos!V14+Datos!AJ14))/(Datos!V14+Datos!AJ14))
     ),IF(J_V="SI",(Datos!L14-Datos!V14)/Datos!V14,(Datos!L14+Datos!AB14-(Datos!V14+Datos!AJ14))/(Datos!V14+Datos!AJ14))," - ")</f>
        <v>-0.21310092774810233</v>
      </c>
      <c r="F14" s="1153">
        <f>IF(ISNUMBER((Datos!M14-Datos!W14)/Datos!W14),(Datos!M14-Datos!W14)/Datos!W14," - ")</f>
        <v>-0.26412614980289095</v>
      </c>
      <c r="G14" s="1154">
        <f>IF(ISNUMBER((Datos!N14-Datos!X14)/Datos!X14),(Datos!N14-Datos!X14)/Datos!X14," - ")</f>
        <v>-0.10515021459227468</v>
      </c>
      <c r="H14" s="1154">
        <f>IF(ISNUMBER(((NºAsuntos!G14/NºAsuntos!E14)-Datos!BD14)/Datos!BD14),((NºAsuntos!G14/NºAsuntos!E14)-Datos!BD14)/Datos!BD14," - ")</f>
        <v>-0.22018121712712702</v>
      </c>
      <c r="I14" s="1154">
        <f>IF(ISNUMBER(((NºAsuntos!I14/NºAsuntos!G14)-Datos!BE14)/Datos!BE14),((NºAsuntos!I14/NºAsuntos!G14)-Datos!BE14)/Datos!BE14," - ")</f>
        <v>-2.1011036419595976E-2</v>
      </c>
      <c r="J14" s="1154">
        <f>IF(ISNUMBER((('Resol  Asuntos'!D14/NºAsuntos!G14)-Datos!BF14)/Datos!BF14),(('Resol  Asuntos'!D14/NºAsuntos!G14)-Datos!BF14)/Datos!BF14," - ")</f>
        <v>0.48550441509728842</v>
      </c>
      <c r="K14" s="1154">
        <f>IF(ISNUMBER((((NºAsuntos!C14+NºAsuntos!E14)/NºAsuntos!G14)-Datos!BG14)/Datos!BG14),(((NºAsuntos!C14+NºAsuntos!E14)/NºAsuntos!G14)-Datos!BG14)/Datos!BG14," - ")</f>
        <v>-2.8067337561357691E-2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7.7233720343260981E-2</v>
      </c>
      <c r="C17" s="515">
        <f>IF(ISNUMBER(
   IF(D_I="SI",(Datos!J17-Datos!T17)/Datos!T17,(Datos!J17+Datos!AD17-(Datos!T17+Datos!AL17))/(Datos!T17+Datos!AL17))
     ),IF(D_I="SI",(Datos!J17-Datos!T17)/Datos!T17,(Datos!J17+Datos!AD17-(Datos!T17+Datos!AL17))/(Datos!T17+Datos!AL17))," - ")</f>
        <v>0.24205202312138729</v>
      </c>
      <c r="D17" s="515">
        <f>IF(ISNUMBER(
   IF(D_I="SI",(Datos!K17-Datos!U17)/Datos!U17,(Datos!K17+Datos!AE17-(Datos!U17+Datos!AM17))/(Datos!U17+Datos!AM17))
     ),IF(D_I="SI",(Datos!K17-Datos!U17)/Datos!U17,(Datos!K17+Datos!AE17-(Datos!U17+Datos!AM17))/(Datos!U17+Datos!AM17))," - ")</f>
        <v>0.31486676016830295</v>
      </c>
      <c r="E17" s="515">
        <f>IF(ISNUMBER(
   IF(D_I="SI",(Datos!L17-Datos!V17)/Datos!V17,(Datos!L17+Datos!AF17-(Datos!V17+Datos!AN17))/(Datos!V17+Datos!AN17))
     ),IF(D_I="SI",(Datos!L17-Datos!V17)/Datos!V17,(Datos!L17+Datos!AF17-(Datos!V17+Datos!AN17))/(Datos!V17+Datos!AN17))," - ")</f>
        <v>-1.4530358069538143E-2</v>
      </c>
      <c r="F17" s="515">
        <f>IF(ISNUMBER((Datos!M17-Datos!W17)/Datos!W17),(Datos!M17-Datos!W17)/Datos!W17," - ")</f>
        <v>6.2893081761006289E-2</v>
      </c>
      <c r="G17" s="516">
        <f>IF(ISNUMBER((Datos!N17-Datos!X17)/Datos!X17),(Datos!N17-Datos!X17)/Datos!X17," - ")</f>
        <v>0.40526315789473683</v>
      </c>
      <c r="H17" s="514">
        <f>IF(ISNUMBER(((NºAsuntos!G17/NºAsuntos!E17)-Datos!BD17)/Datos!BD17),((NºAsuntos!G17/NºAsuntos!E17)-Datos!BD17)/Datos!BD17," - ")</f>
        <v>5.8624546871978656E-2</v>
      </c>
      <c r="I17" s="515">
        <f>IF(ISNUMBER(((NºAsuntos!I17/NºAsuntos!G17)-Datos!BE17)/Datos!BE17),((NºAsuntos!I17/NºAsuntos!G17)-Datos!BE17)/Datos!BE17," - ")</f>
        <v>-0.25051748832381943</v>
      </c>
      <c r="J17" s="521">
        <f>IF(ISNUMBER((('Resol  Asuntos'!D17/NºAsuntos!G17)-Datos!BF17)/Datos!BF17),(('Resol  Asuntos'!D17/NºAsuntos!G17)-Datos!BF17)/Datos!BF17," - ")</f>
        <v>-0.1916343815513627</v>
      </c>
      <c r="K17" s="522">
        <f>IF(ISNUMBER((((NºAsuntos!C17+NºAsuntos!E17)/NºAsuntos!G17)-Datos!BG17)/Datos!BG17),(((NºAsuntos!C17+NºAsuntos!E17)/NºAsuntos!G17)-Datos!BG17)/Datos!BG17," - ")</f>
        <v>-0.12917238236750855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0.11555555555555555</v>
      </c>
      <c r="C18" s="515">
        <f>IF(ISNUMBER(
   IF(D_I="SI",(Datos!J18-Datos!T18)/Datos!T18,(Datos!J18+Datos!AD18-(Datos!T18+Datos!AL18))/(Datos!T18+Datos!AL18))
     ),IF(D_I="SI",(Datos!J18-Datos!T18)/Datos!T18,(Datos!J18+Datos!AD18-(Datos!T18+Datos!AL18))/(Datos!T18+Datos!AL18))," - ")</f>
        <v>0.75</v>
      </c>
      <c r="D18" s="515">
        <f>IF(ISNUMBER(
   IF(D_I="SI",(Datos!K18-Datos!U18)/Datos!U18,(Datos!K18+Datos!AE18-(Datos!U18+Datos!AM18))/(Datos!U18+Datos!AM18))
     ),IF(D_I="SI",(Datos!K18-Datos!U18)/Datos!U18,(Datos!K18+Datos!AE18-(Datos!U18+Datos!AM18))/(Datos!U18+Datos!AM18))," - ")</f>
        <v>0.49315068493150682</v>
      </c>
      <c r="E18" s="515">
        <f>IF(ISNUMBER(
   IF(D_I="SI",(Datos!L18-Datos!V18)/Datos!V18,(Datos!L18+Datos!AF18-(Datos!V18+Datos!AN18))/(Datos!V18+Datos!AN18))
     ),IF(D_I="SI",(Datos!L18-Datos!V18)/Datos!V18,(Datos!L18+Datos!AF18-(Datos!V18+Datos!AN18))/(Datos!V18+Datos!AN18))," - ")</f>
        <v>0.20614035087719298</v>
      </c>
      <c r="F18" s="515">
        <f>IF(ISNUMBER((Datos!M18-Datos!W18)/Datos!W18),(Datos!M18-Datos!W18)/Datos!W18," - ")</f>
        <v>-0.14285714285714285</v>
      </c>
      <c r="G18" s="516">
        <f>IF(ISNUMBER((Datos!N18-Datos!X18)/Datos!X18),(Datos!N18-Datos!X18)/Datos!X18," - ")</f>
        <v>6.25E-2</v>
      </c>
      <c r="H18" s="514">
        <f>IF(ISNUMBER(((NºAsuntos!G18/NºAsuntos!E18)-Datos!BD18)/Datos!BD18),((NºAsuntos!G18/NºAsuntos!E18)-Datos!BD18)/Datos!BD18," - ")</f>
        <v>-0.14677103718199608</v>
      </c>
      <c r="I18" s="515">
        <f>IF(ISNUMBER(((NºAsuntos!I18/NºAsuntos!G18)-Datos!BE18)/Datos!BE18),((NºAsuntos!I18/NºAsuntos!G18)-Datos!BE18)/Datos!BE18," - ")</f>
        <v>-0.19221793014646704</v>
      </c>
      <c r="J18" s="521">
        <f>IF(ISNUMBER((('Resol  Asuntos'!D18/NºAsuntos!G18)-Datos!BF18)/Datos!BF18),(('Resol  Asuntos'!D18/NºAsuntos!G18)-Datos!BF18)/Datos!BF18," - ")</f>
        <v>-0.42595019659239836</v>
      </c>
      <c r="K18" s="522">
        <f>IF(ISNUMBER((((NºAsuntos!C18+NºAsuntos!E18)/NºAsuntos!G18)-Datos!BG18)/Datos!BG18),(((NºAsuntos!C18+NºAsuntos!E18)/NºAsuntos!G18)-Datos!BG18)/Datos!BG18," - ")</f>
        <v>-0.14560029260263949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8.1142339075249315E-2</v>
      </c>
      <c r="C23" s="1152">
        <f>IF(ISNUMBER(
   IF(Criterios!B14="SI",(Datos!J23-Datos!T23)/Datos!T23,(Datos!J23+Datos!AD23-(Datos!T23+Datos!AL23))/(Datos!T23+Datos!AL23))
     ),IF(Criterios!B14="SI",(Datos!J23-Datos!T23)/Datos!T23,(Datos!J23+Datos!AD23-(Datos!T23+Datos!AL23))/(Datos!T23+Datos!AL23))," - ")</f>
        <v>0.26849315068493151</v>
      </c>
      <c r="D23" s="1152">
        <f>IF(ISNUMBER(
   IF(Criterios!B14="SI",(Datos!K23-Datos!U23)/Datos!U23,(Datos!K23+Datos!AE23-(Datos!U23+Datos!AM23))/(Datos!U23+Datos!AM23))
     ),IF(Criterios!B14="SI",(Datos!K23-Datos!U23)/Datos!U23,(Datos!K23+Datos!AE23-(Datos!U23+Datos!AM23))/(Datos!U23+Datos!AM23))," - ")</f>
        <v>0.32354903268845897</v>
      </c>
      <c r="E23" s="1152">
        <f>IF(ISNUMBER(
   IF(Criterios!B14="SI",(Datos!L23-Datos!V23)/Datos!V23,(Datos!L23+Datos!AF23-(Datos!V23+Datos!AN23))/(Datos!V23+Datos!AN23))
     ),IF(Criterios!B14="SI",(Datos!L23-Datos!V23)/Datos!V23,(Datos!L23+Datos!AF23-(Datos!V23+Datos!AN23))/(Datos!V23+Datos!AN23))," - ")</f>
        <v>8.8167053364269134E-3</v>
      </c>
      <c r="F23" s="1153">
        <f>IF(ISNUMBER((Datos!M23-Datos!W23)/Datos!W23),(Datos!M23-Datos!W23)/Datos!W23," - ")</f>
        <v>5.4216867469879519E-2</v>
      </c>
      <c r="G23" s="1154">
        <f>IF(ISNUMBER((Datos!N23-Datos!X23)/Datos!X23),(Datos!N23-Datos!X23)/Datos!X23," - ")</f>
        <v>0.38877755511022044</v>
      </c>
      <c r="H23" s="1154">
        <f>IF(ISNUMBER(((NºAsuntos!G23/NºAsuntos!E23)-Datos!BD23)/Datos!BD23),((NºAsuntos!G23/NºAsuntos!E23)-Datos!BD23)/Datos!BD23," - ")</f>
        <v>4.3402585164767873E-2</v>
      </c>
      <c r="I23" s="1154">
        <f>IF(ISNUMBER(((NºAsuntos!I23/NºAsuntos!G23)-Datos!BE23)/Datos!BE23),((NºAsuntos!I23/NºAsuntos!G23)-Datos!BE23)/Datos!BE23," - ")</f>
        <v>-0.23779423321607665</v>
      </c>
      <c r="J23" s="1154">
        <f>IF(ISNUMBER((('Resol  Asuntos'!D23/NºAsuntos!G23)-Datos!BF23)/Datos!BF23),(('Resol  Asuntos'!D23/NºAsuntos!G23)-Datos!BF23)/Datos!BF23," - ")</f>
        <v>-0.20349239700738431</v>
      </c>
      <c r="K23" s="1154">
        <f>IF(ISNUMBER((((NºAsuntos!C23+NºAsuntos!E23)/NºAsuntos!G23)-Datos!BG23)/Datos!BG23),(((NºAsuntos!C23+NºAsuntos!E23)/NºAsuntos!G23)-Datos!BG23)/Datos!BG23," - ")</f>
        <v>-0.12677538694718676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-0.16927949326999209</v>
      </c>
      <c r="C31" s="1092">
        <f>IF(ISNUMBER(
   IF(J_V="SI",(Datos!J31-Datos!T31)/Datos!T31,(Datos!J31+Datos!Z31-(Datos!T31+Datos!AH31))/(Datos!T31+Datos!AH31))
     ),IF(J_V="SI",(Datos!J31-Datos!T31)/Datos!T31,(Datos!J31+Datos!Z31-(Datos!T31+Datos!AH31))/(Datos!T31+Datos!AH31))," - ")</f>
        <v>0.1521511017838405</v>
      </c>
      <c r="D31" s="1092">
        <f>IF(ISNUMBER(
   IF(J_V="SI",(Datos!K31-Datos!U31)/Datos!U31,(Datos!K31+Datos!AA31-(Datos!U31+Datos!AI31))/(Datos!U31+Datos!AI31))
     ),IF(J_V="SI",(Datos!K31-Datos!U31)/Datos!U31,(Datos!K31+Datos!AA31-(Datos!U31+Datos!AI31))/(Datos!U31+Datos!AI31))," - ")</f>
        <v>3.2941176470588238E-2</v>
      </c>
      <c r="E31" s="1092">
        <f>IF(ISNUMBER(
   IF(J_V="SI",(Datos!L31-Datos!V31)/Datos!V31,(Datos!L31+Datos!AB31-(Datos!V31+Datos!AJ31))/(Datos!V31+Datos!AJ31))
     ),IF(J_V="SI",(Datos!L31-Datos!V31)/Datos!V31,(Datos!L31+Datos!AB31-(Datos!V31+Datos!AJ31))/(Datos!V31+Datos!AJ31))," - ")</f>
        <v>-0.12937675070028012</v>
      </c>
      <c r="F31" s="1093">
        <f>IF(ISNUMBER((Datos!M31-Datos!W31)/Datos!W31),(Datos!M31-Datos!W31)/Datos!W31," - ")</f>
        <v>-0.20711974110032363</v>
      </c>
      <c r="G31" s="1094">
        <f>IF(ISNUMBER((Datos!N31-Datos!X31)/Datos!X31),(Datos!N31-Datos!X31)/Datos!X31," - ")</f>
        <v>0.23155737704918034</v>
      </c>
      <c r="H31" s="1095">
        <f>IF(ISNUMBER((Tasas!B31-Datos!BD31)/Datos!BD31),(Tasas!B31-Datos!BD31)/Datos!BD31," - ")</f>
        <v>-0.10346726668809615</v>
      </c>
      <c r="I31" s="1096">
        <f>IF(ISNUMBER((Tasas!C31-Datos!BE31)/Datos!BE31),(Tasas!C31-Datos!BE31)/Datos!BE31," - ")</f>
        <v>-0.15714150124742379</v>
      </c>
      <c r="J31" s="1097">
        <f>IF(ISNUMBER((Tasas!D31-Datos!BF31)/Datos!BF31),(Tasas!D31-Datos!BF31)/Datos!BF31," - ")</f>
        <v>0.12056750309400389</v>
      </c>
      <c r="K31" s="1097">
        <f>IF(ISNUMBER((Tasas!E31-Datos!BG31)/Datos!BG31),(Tasas!E31-Datos!BG31)/Datos!BG31," - ")</f>
        <v>-9.8795099352284643E-2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KatB7L0PWxVnm/5ltVn8Z/DlJPZR3lU6TjvwmG5N6BzPiAb6iQ4yyhNwcNFGVwZMLpSTPkgZ71rAUDNn8tL4ag==" saltValue="0cK6j+0xwFlXBUDYnUUpj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PALENCIA</v>
      </c>
    </row>
    <row r="4" spans="1:7" ht="11.25" customHeight="1" thickBot="1">
      <c r="B4" s="439" t="str">
        <f>Criterios!A11 &amp;"  "&amp;Criterios!B11</f>
        <v>Resumenes por Partidos Judiciales  PALENCIA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2.375</v>
      </c>
      <c r="C10" s="498">
        <f>IF(ISNUMBER(NºAsuntos!I10/NºAsuntos!G10),NºAsuntos!I10/NºAsuntos!G10," - ")</f>
        <v>2.4210526315789473</v>
      </c>
      <c r="D10" s="499">
        <f>IF(ISNUMBER('Resol  Asuntos'!D10/NºAsuntos!G10),'Resol  Asuntos'!D10/NºAsuntos!G10," - ")</f>
        <v>0.73684210526315785</v>
      </c>
      <c r="E10" s="500">
        <f>IF(ISNUMBER((NºAsuntos!C10+NºAsuntos!E10)/NºAsuntos!G10),(NºAsuntos!C10+NºAsuntos!E10)/NºAsuntos!G10," - ")</f>
        <v>3.4210526315789473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1.0523012552301256</v>
      </c>
      <c r="C12" s="498">
        <f>IF(ISNUMBER(NºAsuntos!I12/NºAsuntos!G12),NºAsuntos!I12/NºAsuntos!G12," - ")</f>
        <v>1.824387011265739</v>
      </c>
      <c r="D12" s="499">
        <f>IF(ISNUMBER('Resol  Asuntos'!D12/NºAsuntos!G12),'Resol  Asuntos'!D12/NºAsuntos!G12," - ")</f>
        <v>0.36182902584493043</v>
      </c>
      <c r="E12" s="500">
        <f>IF(ISNUMBER((NºAsuntos!C12+NºAsuntos!E12)/NºAsuntos!G12),(NºAsuntos!C12+NºAsuntos!E12)/NºAsuntos!G12," - ")</f>
        <v>2.8084824387011267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1.0596393897364771</v>
      </c>
      <c r="C14" s="1156">
        <f>IF(ISNUMBER(NºAsuntos!I14/NºAsuntos!G14),NºAsuntos!I14/NºAsuntos!G14," - ")</f>
        <v>1.831806282722513</v>
      </c>
      <c r="D14" s="1157">
        <f>IF(ISNUMBER('Resol  Asuntos'!D14/NºAsuntos!G14),'Resol  Asuntos'!D14/NºAsuntos!G14," - ")</f>
        <v>0.36649214659685864</v>
      </c>
      <c r="E14" s="1158">
        <f>IF(ISNUMBER((NºAsuntos!C14+NºAsuntos!E14)/NºAsuntos!G14),(NºAsuntos!C14+NºAsuntos!E14)/NºAsuntos!G14," - ")</f>
        <v>2.8160994764397906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1.0907504363001745</v>
      </c>
      <c r="C17" s="498">
        <f>IF(ISNUMBER(NºAsuntos!I17/NºAsuntos!G17),NºAsuntos!I17/NºAsuntos!G17," - ")</f>
        <v>1.0127999999999999</v>
      </c>
      <c r="D17" s="499">
        <f>IF(ISNUMBER('Resol  Asuntos'!D17/NºAsuntos!G17),'Resol  Asuntos'!D17/NºAsuntos!G17," - ")</f>
        <v>9.0133333333333329E-2</v>
      </c>
      <c r="E17" s="500">
        <f>IF(ISNUMBER((NºAsuntos!C17+NºAsuntos!E17)/NºAsuntos!G17),(NºAsuntos!C17+NºAsuntos!E17)/NºAsuntos!G17," - ")</f>
        <v>2.0549333333333335</v>
      </c>
      <c r="G17" s="523"/>
    </row>
    <row r="18" spans="1:7">
      <c r="A18" s="450" t="str">
        <f>Datos!A18</f>
        <v>Jdos. Violencia contra la mujer</v>
      </c>
      <c r="B18" s="497">
        <f>IF(ISNUMBER(NºAsuntos!G18/NºAsuntos!E18),NºAsuntos!G18/NºAsuntos!E18," - ")</f>
        <v>0.81954887218045114</v>
      </c>
      <c r="C18" s="498">
        <f>IF(ISNUMBER(NºAsuntos!I18/NºAsuntos!G18),NºAsuntos!I18/NºAsuntos!G18," - ")</f>
        <v>2.522935779816514</v>
      </c>
      <c r="D18" s="499">
        <f>IF(ISNUMBER('Resol  Asuntos'!D18/NºAsuntos!G18),'Resol  Asuntos'!D18/NºAsuntos!G18," - ")</f>
        <v>5.5045871559633031E-2</v>
      </c>
      <c r="E18" s="500">
        <f>IF(ISNUMBER((NºAsuntos!C18+NºAsuntos!E18)/NºAsuntos!G18),(NºAsuntos!C18+NºAsuntos!E18)/NºAsuntos!G18," - ")</f>
        <v>3.522935779816514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1.0712742980561556</v>
      </c>
      <c r="C23" s="1156">
        <f>IF(ISNUMBER(NºAsuntos!I23/NºAsuntos!G23),NºAsuntos!I23/NºAsuntos!G23," - ")</f>
        <v>1.095766129032258</v>
      </c>
      <c r="D23" s="1159">
        <f>IF(ISNUMBER('Resol  Asuntos'!D23/NºAsuntos!G23),'Resol  Asuntos'!D23/NºAsuntos!G23," - ")</f>
        <v>8.8205645161290328E-2</v>
      </c>
      <c r="E23" s="1158">
        <f>IF(ISNUMBER((NºAsuntos!C23+NºAsuntos!E23)/NºAsuntos!G23),(NºAsuntos!C23+NºAsuntos!E23)/NºAsuntos!G23," - ")</f>
        <v>2.135584677419355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1.066180935033394</v>
      </c>
      <c r="C31" s="1099">
        <f>IF(ISNUMBER(NºAsuntos!I31/NºAsuntos!G31),NºAsuntos!I31/NºAsuntos!G31," - ")</f>
        <v>1.416002277904328</v>
      </c>
      <c r="D31" s="1100">
        <f>IF(ISNUMBER('Resol  Asuntos'!D31/NºAsuntos!G31),'Resol  Asuntos'!D31/NºAsuntos!G31," - ")</f>
        <v>0.20928246013667426</v>
      </c>
      <c r="E31" s="1101">
        <f>IF(ISNUMBER((NºAsuntos!C31+NºAsuntos!E31)/NºAsuntos!G31),(NºAsuntos!C31+NºAsuntos!E31)/NºAsuntos!G31," - ")</f>
        <v>2.4316628701594531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t5+DG87zwDj+FVF2gKeh903KdhWKnukKpSAcs0qqO7qUUtaBKT87zloFpegNfy+MF/sNRHJGiZLjzkwoYR1HEg==" saltValue="X/2o/wthqdZXrLO4pJ3Ea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PALENCIA</v>
      </c>
      <c r="N2" s="368" t="str">
        <f>Criterios!A11 &amp;"  "&amp;Criterios!B11</f>
        <v>Resumenes por Partidos Judiciales  PALENCIA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57</v>
      </c>
      <c r="G10" s="373">
        <f>IF(ISNUMBER(Datos!I10),Datos!I10," - ")</f>
        <v>57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19</v>
      </c>
      <c r="X10" s="240">
        <f>IF(ISNUMBER(Datos!Q10),Datos!Q10," - ")</f>
        <v>0</v>
      </c>
      <c r="Y10" s="374">
        <f t="shared" ref="Y10:Y13" si="0">SUM(W10:X10)</f>
        <v>19</v>
      </c>
      <c r="Z10" s="375" t="str">
        <f>IF(ISNUMBER(Datos!CC10),Datos!CC10," - ")</f>
        <v xml:space="preserve"> - </v>
      </c>
      <c r="AA10" s="372">
        <f>IF(ISNUMBER(Datos!L10),Datos!L10,"-")</f>
        <v>46</v>
      </c>
      <c r="AB10" s="374">
        <f>IF(ISNUMBER(Datos!R10),Datos!R10," - ")</f>
        <v>0</v>
      </c>
      <c r="AC10" s="374">
        <f t="shared" ref="AC10:AC13" si="1">IF(ISNUMBER(AA10+AB10),AA10+AB10," - ")</f>
        <v>46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14</v>
      </c>
      <c r="AJ10" s="245" t="str">
        <f>IF(ISNUMBER(Datos!BW10),Datos!BW10," - ")</f>
        <v xml:space="preserve"> - </v>
      </c>
      <c r="AK10" s="246" t="str">
        <f>IF(ISNUMBER(Datos!BX10),Datos!BX10," - ")</f>
        <v xml:space="preserve"> - </v>
      </c>
      <c r="AL10" s="266">
        <f>IF(ISNUMBER(NºAsuntos!G10/NºAsuntos!E10),NºAsuntos!G10/NºAsuntos!E10," - ")</f>
        <v>2.375</v>
      </c>
      <c r="AM10" s="284">
        <f>IF(ISNUMBER(((NºAsuntos!I10/NºAsuntos!G10)*11)/factor_trimestre),((NºAsuntos!I10/NºAsuntos!G10)*11)/factor_trimestre," - ")</f>
        <v>7.2631578947368425</v>
      </c>
      <c r="AN10" s="267">
        <f>IF(ISNUMBER('Resol  Asuntos'!D10/NºAsuntos!G10),'Resol  Asuntos'!D10/NºAsuntos!G10," - ")</f>
        <v>0.73684210526315785</v>
      </c>
      <c r="AO10" s="268">
        <f>IF(ISNUMBER((NºAsuntos!C10+NºAsuntos!E10)/NºAsuntos!G10),(NºAsuntos!C10+NºAsuntos!E10)/NºAsuntos!G10," - ")</f>
        <v>3.4210526315789473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349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365</v>
      </c>
      <c r="Y12" s="374">
        <f t="shared" si="0"/>
        <v>365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5839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546</v>
      </c>
      <c r="AJ12" s="243" t="str">
        <f>IF(ISNUMBER(Datos!BW12),Datos!BW12," - ")</f>
        <v xml:space="preserve"> - </v>
      </c>
      <c r="AK12" s="242" t="str">
        <f>IF(ISNUMBER(Datos!BX12),Datos!BX12," - ")</f>
        <v xml:space="preserve"> - </v>
      </c>
      <c r="AL12" s="266">
        <f>IF(ISNUMBER(NºAsuntos!G12/NºAsuntos!E12),NºAsuntos!G12/NºAsuntos!E12," - ")</f>
        <v>1.0523012552301256</v>
      </c>
      <c r="AM12" s="284">
        <f>IF(ISNUMBER(((NºAsuntos!I12/NºAsuntos!G12)*11)/factor_trimestre),((NºAsuntos!I12/NºAsuntos!G12)*11)/factor_trimestre," - ")</f>
        <v>5.4731610337972167</v>
      </c>
      <c r="AN12" s="267">
        <f>IF(ISNUMBER('Resol  Asuntos'!D12/NºAsuntos!G12),'Resol  Asuntos'!D12/NºAsuntos!G12," - ")</f>
        <v>0.36182902584493043</v>
      </c>
      <c r="AO12" s="268">
        <f>IF(ISNUMBER((NºAsuntos!C12+NºAsuntos!E12)/NºAsuntos!G12),(NºAsuntos!C12+NºAsuntos!E12)/NºAsuntos!G12," - ")</f>
        <v>2.8084824387011267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57</v>
      </c>
      <c r="G14" s="1163">
        <f t="shared" si="5"/>
        <v>57</v>
      </c>
      <c r="H14" s="1162">
        <f t="shared" si="5"/>
        <v>0</v>
      </c>
      <c r="I14" s="1164">
        <f t="shared" si="5"/>
        <v>0</v>
      </c>
      <c r="J14" s="1164">
        <f t="shared" si="5"/>
        <v>0</v>
      </c>
      <c r="K14" s="1164">
        <f t="shared" si="5"/>
        <v>0</v>
      </c>
      <c r="L14" s="1164">
        <f t="shared" si="5"/>
        <v>349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19</v>
      </c>
      <c r="X14" s="1164">
        <f t="shared" si="6"/>
        <v>365</v>
      </c>
      <c r="Y14" s="1165">
        <f t="shared" si="6"/>
        <v>384</v>
      </c>
      <c r="Z14" s="1165">
        <f t="shared" si="6"/>
        <v>0</v>
      </c>
      <c r="AA14" s="1165">
        <f t="shared" si="6"/>
        <v>46</v>
      </c>
      <c r="AB14" s="1165">
        <f t="shared" si="6"/>
        <v>5839</v>
      </c>
      <c r="AC14" s="1165">
        <f t="shared" si="6"/>
        <v>46</v>
      </c>
      <c r="AD14" s="1165">
        <f t="shared" si="6"/>
        <v>0</v>
      </c>
      <c r="AE14" s="1169">
        <f t="shared" si="6"/>
        <v>0</v>
      </c>
      <c r="AF14" s="1162">
        <f t="shared" si="6"/>
        <v>0</v>
      </c>
      <c r="AG14" s="1170">
        <f t="shared" si="6"/>
        <v>0</v>
      </c>
      <c r="AH14" s="1167">
        <f t="shared" si="6"/>
        <v>0</v>
      </c>
      <c r="AI14" s="1162">
        <f t="shared" si="6"/>
        <v>560</v>
      </c>
      <c r="AJ14" s="1164">
        <f t="shared" si="6"/>
        <v>0</v>
      </c>
      <c r="AK14" s="1167">
        <f>SUBTOTAL(9,AK9:AK13)</f>
        <v>0</v>
      </c>
      <c r="AL14" s="1171">
        <f>IF(ISNUMBER(NºAsuntos!G14/NºAsuntos!E14),NºAsuntos!G14/NºAsuntos!E14," - ")</f>
        <v>1.0596393897364771</v>
      </c>
      <c r="AM14" s="1171">
        <f>IF(ISNUMBER(((NºAsuntos!I14/NºAsuntos!G14)*11)/factor_trimestre),((NºAsuntos!I14/NºAsuntos!G14)*11)/factor_trimestre," - ")</f>
        <v>5.4954188481675397</v>
      </c>
      <c r="AN14" s="1172">
        <f>IF(ISNUMBER('Resol  Asuntos'!D14/NºAsuntos!G14),'Resol  Asuntos'!D14/NºAsuntos!G14," - ")</f>
        <v>0.36649214659685864</v>
      </c>
      <c r="AO14" s="1173">
        <f>IF(ISNUMBER((NºAsuntos!C14+NºAsuntos!E14)/NºAsuntos!G14),(NºAsuntos!C14+NºAsuntos!E14)/NºAsuntos!G14," - ")</f>
        <v>2.8160994764397906</v>
      </c>
      <c r="AP14" s="1174" t="str">
        <f t="shared" si="2"/>
        <v xml:space="preserve"> - </v>
      </c>
      <c r="AQ14" s="1174">
        <f>IF(ISNUMBER((H14-W14+K14)/(F14)),(H14-W14+K14)/(F14)," - ")</f>
        <v>-0.33333333333333331</v>
      </c>
      <c r="AR14" s="1175">
        <f>IF(ISNUMBER((Datos!P14-Datos!Q14)/(Datos!R14-Datos!P14+Datos!Q14)),(Datos!P14-Datos!Q14)/(Datos!R14-Datos!P14+Datos!Q14)," - ")</f>
        <v>-2.7327070879590095E-3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2055</v>
      </c>
      <c r="G17" s="373">
        <f>IF(ISNUMBER(IF(D_I="SI",Datos!I17,Datos!I17+Datos!AC17)),IF(D_I="SI",Datos!I17,Datos!I17+Datos!AC17)," - ")</f>
        <v>2134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1875</v>
      </c>
      <c r="X17" s="240">
        <f>IF(ISNUMBER(Datos!Q17),Datos!Q17," - ")</f>
        <v>67</v>
      </c>
      <c r="Y17" s="374">
        <f t="shared" ref="Y17:Y22" si="9">SUM(W17:X17)</f>
        <v>1942</v>
      </c>
      <c r="Z17" s="375" t="str">
        <f>IF(ISNUMBER(Datos!CC17),Datos!CC17," - ")</f>
        <v xml:space="preserve"> - </v>
      </c>
      <c r="AA17" s="372">
        <f>IF(ISNUMBER(IF(D_I="SI",Datos!L17,Datos!L17+Datos!AF17)),IF(D_I="SI",Datos!L17,Datos!L17+Datos!AF17)," - ")</f>
        <v>1899</v>
      </c>
      <c r="AB17" s="374">
        <f>IF(ISNUMBER(Datos!R17),Datos!R17," - ")</f>
        <v>246</v>
      </c>
      <c r="AC17" s="374">
        <f t="shared" si="8"/>
        <v>2145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169</v>
      </c>
      <c r="AJ17" s="245" t="str">
        <f>IF(ISNUMBER(Datos!BW17),Datos!BW17," - ")</f>
        <v xml:space="preserve"> - </v>
      </c>
      <c r="AK17" s="246" t="str">
        <f>IF(ISNUMBER(Datos!BX17),Datos!BX17," - ")</f>
        <v xml:space="preserve"> - </v>
      </c>
      <c r="AL17" s="266">
        <f>IF(ISNUMBER(NºAsuntos!G17/NºAsuntos!E17),NºAsuntos!G17/NºAsuntos!E17," - ")</f>
        <v>1.0907504363001745</v>
      </c>
      <c r="AM17" s="284">
        <f>IF(ISNUMBER(((NºAsuntos!I17/NºAsuntos!G17)*11)/factor_trimestre),((NºAsuntos!I17/NºAsuntos!G17)*11)/factor_trimestre," - ")</f>
        <v>3.0383999999999998</v>
      </c>
      <c r="AN17" s="267">
        <f>IF(ISNUMBER('Resol  Asuntos'!D17/NºAsuntos!G17),'Resol  Asuntos'!D17/NºAsuntos!G17," - ")</f>
        <v>9.0133333333333329E-2</v>
      </c>
      <c r="AO17" s="268">
        <f>IF(ISNUMBER((NºAsuntos!C17+NºAsuntos!E17)/NºAsuntos!G17),(NºAsuntos!C17+NºAsuntos!E17)/NºAsuntos!G17," - ")</f>
        <v>2.0549333333333335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251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109</v>
      </c>
      <c r="X18" s="240">
        <f>IF(ISNUMBER(Datos!Q18),Datos!Q18," - ")</f>
        <v>0</v>
      </c>
      <c r="Y18" s="374">
        <f t="shared" si="9"/>
        <v>109</v>
      </c>
      <c r="Z18" s="375" t="str">
        <f>IF(ISNUMBER(Datos!CC18),Datos!CC18," - ")</f>
        <v xml:space="preserve"> - </v>
      </c>
      <c r="AA18" s="372">
        <f>IF(ISNUMBER(Datos!L18),Datos!L18,"-")</f>
        <v>275</v>
      </c>
      <c r="AB18" s="374">
        <f>IF(ISNUMBER(Datos!R18),Datos!R18," - ")</f>
        <v>6</v>
      </c>
      <c r="AC18" s="374">
        <f t="shared" si="8"/>
        <v>281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0.81954887218045114</v>
      </c>
      <c r="AM18" s="284">
        <f>IF(ISNUMBER(((NºAsuntos!I18/NºAsuntos!G18)*11)/factor_trimestre),((NºAsuntos!I18/NºAsuntos!G18)*11)/factor_trimestre," - ")</f>
        <v>7.5688073394495419</v>
      </c>
      <c r="AN18" s="267">
        <f>IF(ISNUMBER('Resol  Asuntos'!D18/NºAsuntos!G18),'Resol  Asuntos'!D18/NºAsuntos!G18," - ")</f>
        <v>5.5045871559633031E-2</v>
      </c>
      <c r="AO18" s="268">
        <f>IF(ISNUMBER((NºAsuntos!C18+NºAsuntos!E18)/NºAsuntos!G18),(NºAsuntos!C18+NºAsuntos!E18)/NºAsuntos!G18," - ")</f>
        <v>3.522935779816514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2055</v>
      </c>
      <c r="G23" s="1163">
        <f>SUBTOTAL(9,G16:G22)</f>
        <v>2385</v>
      </c>
      <c r="H23" s="1162">
        <f t="shared" ref="H23:O23" si="13">SUBTOTAL(9,H15:H22)</f>
        <v>0</v>
      </c>
      <c r="I23" s="1164">
        <f t="shared" si="13"/>
        <v>0</v>
      </c>
      <c r="J23" s="1164">
        <f t="shared" si="13"/>
        <v>0</v>
      </c>
      <c r="K23" s="1164">
        <f t="shared" si="13"/>
        <v>0</v>
      </c>
      <c r="L23" s="1164">
        <f t="shared" si="13"/>
        <v>59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1984</v>
      </c>
      <c r="X23" s="1164">
        <f t="shared" si="14"/>
        <v>67</v>
      </c>
      <c r="Y23" s="1165">
        <f t="shared" si="14"/>
        <v>2051</v>
      </c>
      <c r="Z23" s="1165">
        <f t="shared" si="14"/>
        <v>0</v>
      </c>
      <c r="AA23" s="1165">
        <f t="shared" si="14"/>
        <v>2174</v>
      </c>
      <c r="AB23" s="1165">
        <f t="shared" si="14"/>
        <v>252</v>
      </c>
      <c r="AC23" s="1165">
        <f t="shared" si="14"/>
        <v>2426</v>
      </c>
      <c r="AD23" s="1165">
        <f t="shared" si="14"/>
        <v>0</v>
      </c>
      <c r="AE23" s="1169">
        <f t="shared" si="14"/>
        <v>0</v>
      </c>
      <c r="AF23" s="1162">
        <f t="shared" si="14"/>
        <v>0</v>
      </c>
      <c r="AG23" s="1170">
        <f t="shared" si="14"/>
        <v>0</v>
      </c>
      <c r="AH23" s="1167">
        <f t="shared" si="14"/>
        <v>0</v>
      </c>
      <c r="AI23" s="1162">
        <f t="shared" si="14"/>
        <v>175</v>
      </c>
      <c r="AJ23" s="1164">
        <f t="shared" si="14"/>
        <v>0</v>
      </c>
      <c r="AK23" s="1167">
        <f t="shared" si="14"/>
        <v>0</v>
      </c>
      <c r="AL23" s="1171">
        <f>IF(ISNUMBER(NºAsuntos!G23/NºAsuntos!E23),NºAsuntos!G23/NºAsuntos!E23," - ")</f>
        <v>1.0712742980561556</v>
      </c>
      <c r="AM23" s="1171">
        <f>IF(ISNUMBER(((NºAsuntos!I23/NºAsuntos!G23)*11)/factor_trimestre),((NºAsuntos!I23/NºAsuntos!G23)*11)/factor_trimestre," - ")</f>
        <v>3.287298387096774</v>
      </c>
      <c r="AN23" s="1172">
        <f>IF(ISNUMBER('Resol  Asuntos'!D23/NºAsuntos!G23),'Resol  Asuntos'!D23/NºAsuntos!G23," - ")</f>
        <v>8.8205645161290328E-2</v>
      </c>
      <c r="AO23" s="1173">
        <f>IF(ISNUMBER((NºAsuntos!C23+NºAsuntos!E23)/NºAsuntos!G23),(NºAsuntos!C23+NºAsuntos!E23)/NºAsuntos!G23," - ")</f>
        <v>2.135584677419355</v>
      </c>
      <c r="AP23" s="1174" t="str">
        <f t="shared" si="2"/>
        <v xml:space="preserve"> - </v>
      </c>
      <c r="AQ23" s="1174">
        <f>IF(ISNUMBER((H23-W23+K23)/(F23)),(H23-W23+K23)/(F23)," - ")</f>
        <v>-0.96545012165450117</v>
      </c>
      <c r="AR23" s="1175">
        <f>IF(ISNUMBER((Datos!P23-Datos!Q23)/(Datos!R23-Datos!P23+Datos!Q23)),(Datos!P23-Datos!Q23)/(Datos!R23-Datos!P23+Datos!Q23)," - ")</f>
        <v>-3.0769230769230771E-2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2112</v>
      </c>
      <c r="G31" s="1118">
        <f t="shared" si="20"/>
        <v>2442</v>
      </c>
      <c r="H31" s="1117">
        <f t="shared" si="20"/>
        <v>0</v>
      </c>
      <c r="I31" s="1119">
        <f t="shared" si="20"/>
        <v>0</v>
      </c>
      <c r="J31" s="1119">
        <f t="shared" si="20"/>
        <v>0</v>
      </c>
      <c r="K31" s="1180">
        <f t="shared" si="20"/>
        <v>0</v>
      </c>
      <c r="L31" s="1119">
        <f t="shared" si="20"/>
        <v>408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2003</v>
      </c>
      <c r="X31" s="1118">
        <f t="shared" si="21"/>
        <v>432</v>
      </c>
      <c r="Y31" s="1125">
        <f t="shared" si="21"/>
        <v>2435</v>
      </c>
      <c r="Z31" s="1125">
        <f t="shared" si="21"/>
        <v>0</v>
      </c>
      <c r="AA31" s="1125">
        <f t="shared" si="21"/>
        <v>2220</v>
      </c>
      <c r="AB31" s="1125">
        <f t="shared" si="21"/>
        <v>6091</v>
      </c>
      <c r="AC31" s="1125">
        <f t="shared" si="21"/>
        <v>2472</v>
      </c>
      <c r="AD31" s="1125">
        <f t="shared" si="21"/>
        <v>0</v>
      </c>
      <c r="AE31" s="1127">
        <f t="shared" si="21"/>
        <v>0</v>
      </c>
      <c r="AF31" s="1128">
        <f t="shared" si="21"/>
        <v>0</v>
      </c>
      <c r="AG31" s="1129">
        <f t="shared" si="21"/>
        <v>0</v>
      </c>
      <c r="AH31" s="1127">
        <f t="shared" si="21"/>
        <v>0</v>
      </c>
      <c r="AI31" s="1117">
        <f t="shared" si="21"/>
        <v>735</v>
      </c>
      <c r="AJ31" s="1117">
        <f t="shared" si="21"/>
        <v>0</v>
      </c>
      <c r="AK31" s="1127">
        <f t="shared" si="21"/>
        <v>0</v>
      </c>
      <c r="AL31" s="1183">
        <f>IF(ISNUMBER(NºAsuntos!G31/NºAsuntos!E31),NºAsuntos!G31/NºAsuntos!E31," - ")</f>
        <v>1.066180935033394</v>
      </c>
      <c r="AM31" s="1184">
        <f>IF(ISNUMBER(((NºAsuntos!I31/NºAsuntos!G31)*11)/factor_trimestre),((NºAsuntos!I31/NºAsuntos!G31)*11)/factor_trimestre," - ")</f>
        <v>4.2480068337129842</v>
      </c>
      <c r="AN31" s="1184">
        <f>IF(ISNUMBER('Resol  Asuntos'!D31/NºAsuntos!G31),'Resol  Asuntos'!D31/NºAsuntos!G31," - ")</f>
        <v>0.20928246013667426</v>
      </c>
      <c r="AO31" s="1185">
        <f>IF(ISNUMBER((NºAsuntos!C31+NºAsuntos!E31)/NºAsuntos!G31),(NºAsuntos!C31+NºAsuntos!E31)/NºAsuntos!G31," - ")</f>
        <v>2.4316628701594531</v>
      </c>
      <c r="AP31" s="1186" t="str">
        <f t="shared" si="2"/>
        <v xml:space="preserve"> - </v>
      </c>
      <c r="AQ31" s="1187">
        <f>IF(OR(ISNUMBER(FIND("01",Criterios!A8,1)),ISNUMBER(FIND("02",Criterios!A8,1)),ISNUMBER(FIND("03",Criterios!A8,1)),ISNUMBER(FIND("04",Criterios!A8,1))),(I31-W31+K31)/(F31-K31),(H31-W31+K31)/(F31-K31))</f>
        <v>-0.94839015151515149</v>
      </c>
      <c r="AR31" s="1188">
        <f>IF(ISNUMBER((Datos!P31-Datos!Q31)/(Datos!R31-Datos!P31+Datos!Q31)),(Datos!P31-Datos!Q31)/(Datos!R31-Datos!P31+Datos!Q31)," - ")</f>
        <v>-3.9247751430907607E-3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697.71428571428567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2.9319773580418684</v>
      </c>
      <c r="F33" s="276">
        <f>IF(ISNUMBER(STDEV(F8:F30)),STDEV(F8:F30),"-")</f>
        <v>1046.7905234572961</v>
      </c>
      <c r="G33" s="277">
        <f>IF(ISNUMBER(STDEV(G8:G30)),STDEV(G8:G30),"-")</f>
        <v>1072.6946931731809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928.43124216528361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239.35075875017759</v>
      </c>
      <c r="AJ33" s="276">
        <f t="shared" si="25"/>
        <v>0</v>
      </c>
      <c r="AK33" s="278">
        <f t="shared" si="25"/>
        <v>0</v>
      </c>
      <c r="AL33" s="273">
        <f t="shared" si="25"/>
        <v>0.56273851898469562</v>
      </c>
      <c r="AM33" s="274">
        <f t="shared" si="25"/>
        <v>1.9088065453785799</v>
      </c>
      <c r="AN33" s="274">
        <f t="shared" si="25"/>
        <v>0.26315890133371822</v>
      </c>
      <c r="AO33" s="275">
        <f t="shared" si="25"/>
        <v>0.61724658861831605</v>
      </c>
      <c r="AP33" s="317" t="str">
        <f t="shared" si="25"/>
        <v>-</v>
      </c>
      <c r="AQ33" s="318">
        <f t="shared" si="25"/>
        <v>0.44697406752375912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GOtdd4JBMUza36un82pdAOUWwFv5lGdqqlRgF+ZcG5hOd967SNSV2P9CVzSFzUqK2M8bfsUojIUlO+flnmGu4A==" saltValue="EqbCeBH36OMFNNV1GOpAK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PALENCIA</v>
      </c>
      <c r="E3" s="287"/>
    </row>
    <row r="4" spans="2:20" ht="17.25" customHeight="1" thickBot="1">
      <c r="D4" s="286" t="str">
        <f>Criterios!A11 &amp;"  "&amp;Criterios!B11</f>
        <v>Resumenes por Partidos Judiciales  PALENCIA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1.1923076923076923</v>
      </c>
      <c r="E10" s="393">
        <f>IF(ISNUMBER((Datos!J10-Datos!T10)/Datos!T10),(Datos!J10-Datos!T10)/Datos!T10," - ")</f>
        <v>0.14285714285714285</v>
      </c>
      <c r="F10" s="393">
        <f>IF(ISNUMBER((Datos!K10-Datos!U10)/Datos!U10),(Datos!K10-Datos!U10)/Datos!U10," - ")</f>
        <v>1.1111111111111112</v>
      </c>
      <c r="G10" s="394">
        <f>IF(ISNUMBER((Datos!L10-Datos!V10)/Datos!V10),(Datos!L10-Datos!V10)/Datos!V10," - ")</f>
        <v>0.91666666666666663</v>
      </c>
      <c r="H10" s="244">
        <f>IF(ISNUMBER((Datos!M10-Datos!W10)/Datos!W10),(Datos!M10-Datos!W10)/Datos!W10," - ")</f>
        <v>1.3333333333333333</v>
      </c>
      <c r="I10" s="395">
        <f>IF(ISNUMBER((Tasas!C10-Datos!BE10)/Datos!BE10),(Tasas!C10-Datos!BE10)/Datos!BE10," - ")</f>
        <v>-9.210526315789469E-2</v>
      </c>
      <c r="J10" s="394">
        <f>IF(ISNUMBER((Tasas!D10-Datos!BF10)/Datos!BF10),(Tasas!D10-Datos!BF10)/Datos!BF10," - ")</f>
        <v>0.10526315789473684</v>
      </c>
      <c r="K10" s="396">
        <f>IF(ISNUMBER((Tasas!E10-Datos!BG10)/Datos!BG10),(Tasas!E10-Datos!BG10)/Datos!BG10," - ")</f>
        <v>-6.6985645933014329E-2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-0.27682119205298011</v>
      </c>
      <c r="I12" s="395">
        <f>IF(ISNUMBER((Tasas!C12-Datos!BE12)/Datos!BE12),(Tasas!C12-Datos!BE12)/Datos!BE12," - ")</f>
        <v>-2.30002192712205E-2</v>
      </c>
      <c r="J12" s="394">
        <f>IF(ISNUMBER((Tasas!D12-Datos!BF12)/Datos!BF12),(Tasas!D12-Datos!BF12)/Datos!BF12," - ")</f>
        <v>0.47857563045055806</v>
      </c>
      <c r="K12" s="396">
        <f>IF(ISNUMBER((Tasas!E12-Datos!BG12)/Datos!BG12),(Tasas!E12-Datos!BG12)/Datos!BG12," - ")</f>
        <v>-2.9470543557528411E-2</v>
      </c>
      <c r="M12" t="e">
        <f>IF(Monitorios="SI",Datos!CE12,0)</f>
        <v>#REF!</v>
      </c>
      <c r="N12" t="e">
        <f>IF(Monitorios="SI",Datos!CF12,0)</f>
        <v>#REF!</v>
      </c>
      <c r="O12" t="e">
        <f>IF(Monitorios="SI",Datos!CG12,0)</f>
        <v>#REF!</v>
      </c>
      <c r="P12" t="e">
        <f>IF(Monitorios="SI",Datos!CH12,0)</f>
        <v>#REF!</v>
      </c>
      <c r="Q12">
        <f>IF(J_V="SI",0,Datos!AG12)</f>
        <v>449</v>
      </c>
      <c r="R12">
        <f>IF(J_V="SI",0,Datos!AH12)</f>
        <v>206</v>
      </c>
      <c r="S12">
        <f>IF(J_V="SI",0,Datos!AI12)</f>
        <v>224</v>
      </c>
      <c r="T12">
        <f>IF(J_V="SI",0,Datos!AJ12)</f>
        <v>337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-0.26412614980289095</v>
      </c>
      <c r="I14" s="402">
        <f>IF(ISNUMBER((Tasas!C14-Datos!BE14)/Datos!BE14),(Tasas!C14-Datos!BE14)/Datos!BE14," - ")</f>
        <v>-2.1011036419595976E-2</v>
      </c>
      <c r="J14" s="400">
        <f>IF(ISNUMBER((Tasas!D14-Datos!BF14)/Datos!BF14),(Tasas!D14-Datos!BF14)/Datos!BF14," - ")</f>
        <v>0.48550441509728842</v>
      </c>
      <c r="K14" s="403">
        <f>IF(ISNUMBER((Tasas!E14-Datos!BG14)/Datos!BG14),(Tasas!E14-Datos!BG14)/Datos!BG14," - ")</f>
        <v>-2.8067337561357691E-2</v>
      </c>
      <c r="M14" t="e">
        <f>IF(Monitorios="SI",Datos!CE14,0)</f>
        <v>#REF!</v>
      </c>
      <c r="N14" t="e">
        <f>IF(Monitorios="SI",Datos!CF14,0)</f>
        <v>#REF!</v>
      </c>
      <c r="O14" t="e">
        <f>IF(Monitorios="SI",Datos!CG14,0)</f>
        <v>#REF!</v>
      </c>
      <c r="P14" t="e">
        <f>IF(Monitorios="SI",Datos!CH14,0)</f>
        <v>#REF!</v>
      </c>
      <c r="Q14">
        <f>IF(J_V="SI",0,Datos!AG14)</f>
        <v>449</v>
      </c>
      <c r="R14">
        <f>IF(J_V="SI",0,Datos!AH14)</f>
        <v>206</v>
      </c>
      <c r="S14">
        <f>IF(J_V="SI",0,Datos!AI14)</f>
        <v>224</v>
      </c>
      <c r="T14">
        <f>IF(J_V="SI",0,Datos!AJ14)</f>
        <v>337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7.7233720343260981E-2</v>
      </c>
      <c r="E17" s="393">
        <f>IF(ISNUMBER(
   IF(D_I="SI",(Datos!J17-Datos!T17)/Datos!T17,(Datos!J17+Datos!AD17-(Datos!T17+Datos!AL17))/(Datos!T17+Datos!AL17))
     ),IF(D_I="SI",(Datos!J17-Datos!T17)/Datos!T17,(Datos!J17+Datos!AD17-(Datos!T17+Datos!AL17))/(Datos!T17+Datos!AL17))," - ")</f>
        <v>0.24205202312138729</v>
      </c>
      <c r="F17" s="393">
        <f>IF(ISNUMBER(
   IF(D_I="SI",(Datos!K17-Datos!U17)/Datos!U17,(Datos!K17+Datos!AE17-(Datos!U17+Datos!AM17))/(Datos!U17+Datos!AM17))
     ),IF(D_I="SI",(Datos!K17-Datos!U17)/Datos!U17,(Datos!K17+Datos!AE17-(Datos!U17+Datos!AM17))/(Datos!U17+Datos!AM17))," - ")</f>
        <v>0.31486676016830295</v>
      </c>
      <c r="G17" s="394">
        <f>IF(ISNUMBER(
   IF(D_I="SI",(Datos!L17-Datos!V17)/Datos!V17,(Datos!L17+Datos!AF17-(Datos!V17+Datos!AN17))/(Datos!V17+Datos!AN17))
     ),IF(D_I="SI",(Datos!L17-Datos!V17)/Datos!V17,(Datos!L17+Datos!AF17-(Datos!V17+Datos!AN17))/(Datos!V17+Datos!AN17))," - ")</f>
        <v>-1.4530358069538143E-2</v>
      </c>
      <c r="H17" s="244">
        <f>IF(ISNUMBER((Datos!M17-Datos!W17)/Datos!W17),(Datos!M17-Datos!W17)/Datos!W17," - ")</f>
        <v>6.2893081761006289E-2</v>
      </c>
      <c r="I17" s="395">
        <f>IF(ISNUMBER((Tasas!C17-Datos!BE17)/Datos!BE17),(Tasas!C17-Datos!BE17)/Datos!BE17," - ")</f>
        <v>-0.25051748832381943</v>
      </c>
      <c r="J17" s="394">
        <f>IF(ISNUMBER((Tasas!D17-Datos!BF17)/Datos!BF17),(Tasas!D17-Datos!BF17)/Datos!BF17," - ")</f>
        <v>-0.1916343815513627</v>
      </c>
      <c r="K17" s="396">
        <f>IF(ISNUMBER((Tasas!E17-Datos!BG17)/Datos!BG17),(Tasas!E17-Datos!BG17)/Datos!BG17," - ")</f>
        <v>-0.12917238236750855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0.11555555555555555</v>
      </c>
      <c r="E18" s="393">
        <f>IF(ISNUMBER(
   IF(D_I="SI",(Datos!J18-Datos!T18)/Datos!T18,(Datos!J18+Datos!AD18-(Datos!T18+Datos!AL18))/(Datos!T18+Datos!AL18))
     ),IF(D_I="SI",(Datos!J18-Datos!T18)/Datos!T18,(Datos!J18+Datos!AD18-(Datos!T18+Datos!AL18))/(Datos!T18+Datos!AL18))," - ")</f>
        <v>0.75</v>
      </c>
      <c r="F18" s="393">
        <f>IF(ISNUMBER(
   IF(D_I="SI",(Datos!K18-Datos!U18)/Datos!U18,(Datos!K18+Datos!AE18-(Datos!U18+Datos!AM18))/(Datos!U18+Datos!AM18))
     ),IF(D_I="SI",(Datos!K18-Datos!U18)/Datos!U18,(Datos!K18+Datos!AE18-(Datos!U18+Datos!AM18))/(Datos!U18+Datos!AM18))," - ")</f>
        <v>0.49315068493150682</v>
      </c>
      <c r="G18" s="394">
        <f>IF(ISNUMBER(
   IF(D_I="SI",(Datos!L18-Datos!V18)/Datos!V18,(Datos!L18+Datos!AF18-(Datos!V18+Datos!AN18))/(Datos!V18+Datos!AN18))
     ),IF(D_I="SI",(Datos!L18-Datos!V18)/Datos!V18,(Datos!L18+Datos!AF18-(Datos!V18+Datos!AN18))/(Datos!V18+Datos!AN18))," - ")</f>
        <v>0.20614035087719298</v>
      </c>
      <c r="H18" s="244">
        <f>IF(ISNUMBER((Datos!M18-Datos!W18)/Datos!W18),(Datos!M18-Datos!W18)/Datos!W18," - ")</f>
        <v>-0.14285714285714285</v>
      </c>
      <c r="I18" s="395">
        <f>IF(ISNUMBER((Tasas!C18-Datos!BE18)/Datos!BE18),(Tasas!C18-Datos!BE18)/Datos!BE18," - ")</f>
        <v>-0.19221793014646704</v>
      </c>
      <c r="J18" s="394">
        <f>IF(ISNUMBER((Tasas!D18-Datos!BF18)/Datos!BF18),(Tasas!D18-Datos!BF18)/Datos!BF18," - ")</f>
        <v>-0.42595019659239836</v>
      </c>
      <c r="K18" s="396">
        <f>IF(ISNUMBER((Tasas!E18-Datos!BG18)/Datos!BG18),(Tasas!E18-Datos!BG18)/Datos!BG18," - ")</f>
        <v>-0.14560029260263949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8.1142339075249315E-2</v>
      </c>
      <c r="E23" s="399">
        <f>IF(ISNUMBER(
   IF(D_I="SI",(Datos!J23-Datos!T23)/Datos!T23,(Datos!J23+Datos!AD23-(Datos!T23+Datos!AL23))/(Datos!T23+Datos!AL23))
     ),IF(D_I="SI",(Datos!J23-Datos!T23)/Datos!T23,(Datos!J23+Datos!AD23-(Datos!T23+Datos!AL23))/(Datos!T23+Datos!AL23))," - ")</f>
        <v>0.26849315068493151</v>
      </c>
      <c r="F23" s="399">
        <f>IF(ISNUMBER(
   IF(D_I="SI",(Datos!K23-Datos!U23)/Datos!U23,(Datos!K23+Datos!AE23-(Datos!U23+Datos!AM23))/(Datos!U23+Datos!AM23))
     ),IF(D_I="SI",(Datos!K23-Datos!U23)/Datos!U23,(Datos!K23+Datos!AE23-(Datos!U23+Datos!AM23))/(Datos!U23+Datos!AM23))," - ")</f>
        <v>0.32354903268845897</v>
      </c>
      <c r="G23" s="400">
        <f>IF(ISNUMBER(
   IF(D_I="SI",(Datos!L23-Datos!V23)/Datos!V23,(Datos!L23+Datos!AF23-(Datos!V23+Datos!AN23))/(Datos!V23+Datos!AN23))
     ),IF(D_I="SI",(Datos!L23-Datos!V23)/Datos!V23,(Datos!L23+Datos!AF23-(Datos!V23+Datos!AN23))/(Datos!V23+Datos!AN23))," - ")</f>
        <v>8.8167053364269134E-3</v>
      </c>
      <c r="H23" s="401">
        <f>IF(ISNUMBER((Datos!M23-Datos!W23)/Datos!W23),(Datos!M23-Datos!W23)/Datos!W23," - ")</f>
        <v>5.4216867469879519E-2</v>
      </c>
      <c r="I23" s="402">
        <f>IF(ISNUMBER((Tasas!C23-Datos!BE23)/Datos!BE23),(Tasas!C23-Datos!BE23)/Datos!BE23," - ")</f>
        <v>-0.23779423321607665</v>
      </c>
      <c r="J23" s="400">
        <f>IF(ISNUMBER((Tasas!D23-Datos!BF23)/Datos!BF23),(Tasas!D23-Datos!BF23)/Datos!BF23," - ")</f>
        <v>-0.20349239700738431</v>
      </c>
      <c r="K23" s="403">
        <f>IF(ISNUMBER((Tasas!E23-Datos!BG23)/Datos!BG23),(Tasas!E23-Datos!BG23)/Datos!BG23," - ")</f>
        <v>-0.12677538694718676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-0.16927949326999209</v>
      </c>
      <c r="E31" s="409">
        <f>IF(ISNUMBER(
   IF(J_V="SI",(Datos!J31-Datos!T31)/Datos!T31,(Datos!J31+Datos!Z31-(Datos!T31+Datos!AH31))/(Datos!T31+Datos!AH31))
     ),IF(J_V="SI",(Datos!J31-Datos!T31)/Datos!T31,(Datos!J31+Datos!Z31-(Datos!T31+Datos!AH31))/(Datos!T31+Datos!AH31))," - ")</f>
        <v>0.1521511017838405</v>
      </c>
      <c r="F31" s="409">
        <f>IF(ISNUMBER(
   IF(J_V="SI",(Datos!K31-Datos!U31)/Datos!U31,(Datos!K31+Datos!AA31-(Datos!U31+Datos!AI31))/(Datos!U31+Datos!AI31))
     ),IF(J_V="SI",(Datos!K31-Datos!U31)/Datos!U31,(Datos!K31+Datos!AA31-(Datos!U31+Datos!AI31))/(Datos!U31+Datos!AI31))," - ")</f>
        <v>3.2941176470588238E-2</v>
      </c>
      <c r="G31" s="410">
        <f>IF(ISNUMBER(
   IF(J_V="SI",(Datos!L31-Datos!V31)/Datos!V31,(Datos!L31+Datos!AB31-(Datos!V31+Datos!AJ31))/(Datos!V31+Datos!AJ31))
     ),IF(J_V="SI",(Datos!L31-Datos!V31)/Datos!V31,(Datos!L31+Datos!AB31-(Datos!V31+Datos!AJ31))/(Datos!V31+Datos!AJ31))," - ")</f>
        <v>-0.12937675070028012</v>
      </c>
      <c r="H31" s="411">
        <f>IF(ISNUMBER((Datos!M31-Datos!W31)/Datos!W31),(Datos!M31-Datos!W31)/Datos!W31," - ")</f>
        <v>-0.20711974110032363</v>
      </c>
      <c r="I31" s="408">
        <f>IF(ISNUMBER((Tasas!C31-Datos!BE31)/Datos!BE31),(Tasas!C31-Datos!BE31)/Datos!BE31," - ")</f>
        <v>-0.15714150124742379</v>
      </c>
      <c r="J31" s="409">
        <f>IF(ISNUMBER((Tasas!D31-Datos!BF31)/Datos!BF31),(Tasas!D31-Datos!BF31)/Datos!BF31," - ")</f>
        <v>0.12056750309400389</v>
      </c>
      <c r="K31" s="410">
        <f>IF(ISNUMBER((Tasas!E31-Datos!BG31)/Datos!BG31),(Tasas!E31-Datos!BG31)/Datos!BG31," - ")</f>
        <v>-9.8795099352284643E-2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0.55076777312826053</v>
      </c>
      <c r="E33" s="303">
        <f t="shared" si="1"/>
        <v>0.27153968495911801</v>
      </c>
      <c r="F33" s="303">
        <f t="shared" si="1"/>
        <v>0.37602741946016793</v>
      </c>
      <c r="G33" s="304">
        <f t="shared" si="1"/>
        <v>0.43630497407590113</v>
      </c>
      <c r="H33" s="310">
        <f t="shared" si="1"/>
        <v>0.60885428532815122</v>
      </c>
      <c r="I33" s="302">
        <f t="shared" si="1"/>
        <v>0.10445560515462075</v>
      </c>
      <c r="J33" s="303">
        <f t="shared" si="1"/>
        <v>0.38082102848308136</v>
      </c>
      <c r="K33" s="304">
        <f t="shared" si="1"/>
        <v>5.2867937336475553E-2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3OxOtYIuvqwmTLFZCeklru2yAU6Eb8XeJF25sONSbnhCG9BgtIYIK0PnGVl8cnE/K8DLoCc5ty4YjxIMSsWSiw==" saltValue="mztAbiTquFlwja9tRadFU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2023-05-05T17:20:57Z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